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CAT 950 2012 - 6 CAMINHÕES  - 6 TRATORES -  23 REBOQUES/SEMI 12,50M - COLHEDORAS</t>
        </is>
      </c>
      <c r="C6" s="4"/>
      <c r="D6" s="4"/>
      <c r="E6" s="4"/>
      <c r="F6" s="4"/>
    </row>
    <row collapsed="false" customFormat="false" customHeight="false" hidden="false" ht="12.1" outlineLevel="0" r="7">
      <c r="A7" s="3" t="inlineStr">
        <is>
          <t>Data</t>
        </is>
      </c>
      <c r="B7" s="4" t="inlineStr">
        <is>
          <t>01/04/2022 11:30</t>
        </is>
      </c>
      <c r="C7" s="4"/>
      <c r="D7" s="4"/>
      <c r="E7" s="4"/>
      <c r="F7" s="4"/>
    </row>
    <row collapsed="false" customFormat="false" customHeight="false" hidden="false" ht="12.1" outlineLevel="0" r="8">
      <c r="A8" s="3" t="inlineStr">
        <is>
          <t>Leiloeiro</t>
        </is>
      </c>
      <c r="B8" s="4" t="inlineStr">
        <is>
          <t>Eduardo Jordao Boyadjian</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=HYPERLINK("https://www.leilaoonline.com.br/lote/detalhe/121211", "3085")</f>
      </c>
      <c r="B11" s="4" t="s">
        <f>=HYPERLINK("https://www.leilaoonline.com.br/lote/detalhe/121211", "ADUBADEIRA JM3520SH, JUMIL, FR 103959; LOC: BARRA")</f>
      </c>
      <c r="C11" s="4" t="inlineStr">
        <is>
          <t>Vendido</t>
        </is>
      </c>
      <c r="D11" s="4" t="inlineStr">
        <is>
          <t>2</t>
        </is>
      </c>
      <c r="E11" s="5" t="inlineStr">
        <is>
          <t>1.250,00</t>
        </is>
      </c>
      <c r="F11" s="4" t="inlineStr">
        <is>
          <t>250.00</t>
        </is>
      </c>
    </row>
    <row collapsed="false" customFormat="false" customHeight="false" hidden="false" ht="12.1" outlineLevel="0" r="12">
      <c r="A12" s="5" t="s">
        <f>=HYPERLINK("https://www.leilaoonline.com.br/lote/detalhe/121218", "3333")</f>
      </c>
      <c r="B12" s="4" t="s">
        <f>=HYPERLINK("https://www.leilaoonline.com.br/lote/detalhe/121218", " 2 CAMARAS. 1 FREEZER, 8 AR-CONDICIONADOS, 2  MONITORES. 1 DIJUNTOR, 1 PORTÃO, 1 COFRE COM CHAVE. - LOC. PARAISO/SP")</f>
      </c>
      <c r="C12" s="4" t="inlineStr">
        <is>
          <t>Vendido</t>
        </is>
      </c>
      <c r="D12" s="4" t="inlineStr">
        <is>
          <t>2</t>
        </is>
      </c>
      <c r="E12" s="5" t="inlineStr">
        <is>
          <t>600,00</t>
        </is>
      </c>
      <c r="F12" s="4" t="inlineStr">
        <is>
          <t>100.00</t>
        </is>
      </c>
    </row>
    <row collapsed="false" customFormat="false" customHeight="false" hidden="false" ht="12.1" outlineLevel="0" r="13">
      <c r="A13" s="5" t="s">
        <f>=HYPERLINK("https://www.leilaoonline.com.br/lote/detalhe/121207", "3335")</f>
      </c>
      <c r="B13" s="4" t="s">
        <f>=HYPERLINK("https://www.leilaoonline.com.br/lote/detalhe/121207", "ADUBADEIRA JM3520SH JUMIL; FR103955 ; LOC: BARRA")</f>
      </c>
      <c r="C13" s="4" t="inlineStr">
        <is>
          <t>Vendido</t>
        </is>
      </c>
      <c r="D13" s="4" t="inlineStr">
        <is>
          <t>2</t>
        </is>
      </c>
      <c r="E13" s="5" t="inlineStr">
        <is>
          <t>1.250,00</t>
        </is>
      </c>
      <c r="F13" s="4" t="inlineStr">
        <is>
          <t>250.00</t>
        </is>
      </c>
    </row>
    <row collapsed="false" customFormat="false" customHeight="false" hidden="false" ht="12.1" outlineLevel="0" r="14">
      <c r="A14" s="5" t="s">
        <f>=HYPERLINK("https://www.leilaoonline.com.br/lote/detalhe/122130", "3337")</f>
      </c>
      <c r="B14" s="4" t="s">
        <f>=HYPERLINK("https://www.leilaoonline.com.br/lote/detalhe/122130", "DOLLY USICAMP, ( SEM DOCUMENTO), ANO 2008, FR97998, LOC. BARRA ")</f>
      </c>
      <c r="C14" s="4" t="inlineStr">
        <is>
          <t>Vendido</t>
        </is>
      </c>
      <c r="D14" s="4" t="inlineStr">
        <is>
          <t>5</t>
        </is>
      </c>
      <c r="E14" s="5" t="inlineStr">
        <is>
          <t>12.500,00</t>
        </is>
      </c>
      <c r="F14" s="4" t="inlineStr">
        <is>
          <t>500.00</t>
        </is>
      </c>
    </row>
    <row collapsed="false" customFormat="false" customHeight="false" hidden="false" ht="12.1" outlineLevel="0" r="15">
      <c r="A15" s="5" t="s">
        <f>=HYPERLINK("https://www.leilaoonline.com.br/lote/detalhe/121206", "3339")</f>
      </c>
      <c r="B15" s="4" t="s">
        <f>=HYPERLINK("https://www.leilaoonline.com.br/lote/detalhe/121206", "SUCATA DE IMPLEMENTO; 1 COBRIDOR - EX DE CULTIVADOR, ESTRUTURA DE CARRETA COR AMARELA COM DOIS PNEUS, 1 LÂMINA, 1 GARFO (2 TANQUES, SENDO 1 BRANCO E UM PRETO) E 3 ESTRUTURA, FR 103478, PAT. 075718; LOC: BARRA")</f>
      </c>
      <c r="C15" s="4" t="inlineStr">
        <is>
          <t>Vendido</t>
        </is>
      </c>
      <c r="D15" s="4" t="inlineStr">
        <is>
          <t>8</t>
        </is>
      </c>
      <c r="E15" s="5" t="inlineStr">
        <is>
          <t>3.500,00</t>
        </is>
      </c>
      <c r="F15" s="4" t="inlineStr">
        <is>
          <t>250.00</t>
        </is>
      </c>
    </row>
    <row collapsed="false" customFormat="false" customHeight="false" hidden="false" ht="12.1" outlineLevel="0" r="16">
      <c r="A16" s="5" t="s">
        <f>=HYPERLINK("https://www.leilaoonline.com.br/lote/detalhe/121212", "3340")</f>
      </c>
      <c r="B16" s="4" t="s">
        <f>=HYPERLINK("https://www.leilaoonline.com.br/lote/detalhe/121212", "TRATOR VALTRA AGRI PNEU 205 225CV ST, ANO 2016,  FR 50844; LOC: BARRA")</f>
      </c>
      <c r="C16" s="4" t="inlineStr">
        <is>
          <t>Não vendido</t>
        </is>
      </c>
      <c r="D16" s="4" t="inlineStr">
        <is>
          <t>59</t>
        </is>
      </c>
      <c r="E16" s="5" t="inlineStr">
        <is>
          <t>214.000,00</t>
        </is>
      </c>
      <c r="F16" s="4" t="inlineStr">
        <is>
          <t>2000.00</t>
        </is>
      </c>
    </row>
    <row collapsed="false" customFormat="false" customHeight="false" hidden="false" ht="12.1" outlineLevel="0" r="17">
      <c r="A17" s="5" t="s">
        <f>=HYPERLINK("https://www.leilaoonline.com.br/lote/detalhe/122134", "3341")</f>
      </c>
      <c r="B17" s="4" t="s">
        <f>=HYPERLINK("https://www.leilaoonline.com.br/lote/detalhe/122134", "COLHEDORA J. DEERE 3522 2L, ANO 2012, FR72116, LOC. BARRA ")</f>
      </c>
      <c r="C17" s="4" t="inlineStr">
        <is>
          <t>Não vendido</t>
        </is>
      </c>
      <c r="D17" s="4" t="inlineStr">
        <is>
          <t>48</t>
        </is>
      </c>
      <c r="E17" s="5" t="inlineStr">
        <is>
          <t>77.000,00</t>
        </is>
      </c>
      <c r="F17" s="4" t="inlineStr">
        <is>
          <t>1000.00</t>
        </is>
      </c>
    </row>
    <row collapsed="false" customFormat="false" customHeight="false" hidden="false" ht="12.1" outlineLevel="0" r="18">
      <c r="A18" s="5" t="s">
        <f>=HYPERLINK("https://www.leilaoonline.com.br/lote/detalhe/122132", "3342")</f>
      </c>
      <c r="B18" s="4" t="s">
        <f>=HYPERLINK("https://www.leilaoonline.com.br/lote/detalhe/122132", "COLHEDORA J. DEERE 3522 2L, ANO 2012, FR101481, LOC. BARRA")</f>
      </c>
      <c r="C18" s="4" t="inlineStr">
        <is>
          <t>Não vendido</t>
        </is>
      </c>
      <c r="D18" s="4" t="inlineStr">
        <is>
          <t>42</t>
        </is>
      </c>
      <c r="E18" s="5" t="inlineStr">
        <is>
          <t>71.000,00</t>
        </is>
      </c>
      <c r="F18" s="4" t="inlineStr">
        <is>
          <t>1000.00</t>
        </is>
      </c>
    </row>
    <row collapsed="false" customFormat="false" customHeight="false" hidden="false" ht="12.1" outlineLevel="0" r="19">
      <c r="A19" s="5" t="s">
        <f>=HYPERLINK("https://www.leilaoonline.com.br/lote/detalhe/121210", "3343")</f>
      </c>
      <c r="B19" s="4" t="s">
        <f>=HYPERLINK("https://www.leilaoonline.com.br/lote/detalhe/121210", "4 TANQUES SENDO 1 COR VERDE, 3 COR PRETA E 1 CAIXA DE CONTENÇÃO; LOC: BARRA")</f>
      </c>
      <c r="C19" s="4" t="inlineStr">
        <is>
          <t>Não vendido</t>
        </is>
      </c>
      <c r="D19" s="4" t="inlineStr">
        <is>
          <t>0</t>
        </is>
      </c>
      <c r="E19" s="5" t="inlineStr">
        <is>
          <t>1.000,00</t>
        </is>
      </c>
      <c r="F19" s="4" t="inlineStr">
        <is>
          <t>250.00</t>
        </is>
      </c>
    </row>
    <row collapsed="false" customFormat="false" customHeight="false" hidden="false" ht="12.1" outlineLevel="0" r="20">
      <c r="A20" s="5" t="s">
        <f>=HYPERLINK("https://www.leilaoonline.com.br/lote/detalhe/121208", "3344")</f>
      </c>
      <c r="B20" s="4" t="s">
        <f>=HYPERLINK("https://www.leilaoonline.com.br/lote/detalhe/121208", "1 ESTEIRA APROX. 12 METROS; LOC: BARRA")</f>
      </c>
      <c r="C20" s="4" t="inlineStr">
        <is>
          <t>Vendido</t>
        </is>
      </c>
      <c r="D20" s="4" t="inlineStr">
        <is>
          <t>41</t>
        </is>
      </c>
      <c r="E20" s="5" t="inlineStr">
        <is>
          <t>11.000,00</t>
        </is>
      </c>
      <c r="F20" s="4" t="inlineStr">
        <is>
          <t>500.00</t>
        </is>
      </c>
    </row>
    <row collapsed="false" customFormat="false" customHeight="false" hidden="false" ht="12.1" outlineLevel="0" r="21">
      <c r="A21" s="5" t="s">
        <f>=HYPERLINK("https://www.leilaoonline.com.br/lote/detalhe/121215", "3345")</f>
      </c>
      <c r="B21" s="4" t="s">
        <f>=HYPERLINK("https://www.leilaoonline.com.br/lote/detalhe/121215", "9 ESTEIRAS MOD/TAMANHOS DIVERSOS; LOC: BARRA")</f>
      </c>
      <c r="C21" s="4" t="inlineStr">
        <is>
          <t>Vendido</t>
        </is>
      </c>
      <c r="D21" s="4" t="inlineStr">
        <is>
          <t>86</t>
        </is>
      </c>
      <c r="E21" s="5" t="inlineStr">
        <is>
          <t>39.500,00</t>
        </is>
      </c>
      <c r="F21" s="4" t="inlineStr">
        <is>
          <t>500.00</t>
        </is>
      </c>
    </row>
    <row collapsed="false" customFormat="false" customHeight="false" hidden="false" ht="12.1" outlineLevel="0" r="22">
      <c r="A22" s="5" t="s">
        <f>=HYPERLINK("https://www.leilaoonline.com.br/lote/detalhe/121209", "3347")</f>
      </c>
      <c r="B22" s="4" t="s">
        <f>=HYPERLINK("https://www.leilaoonline.com.br/lote/detalhe/121209", " SUCATA DE MÓVEIS E UTENSÍLIOS DIVERSOS; 20 GAVETEIROS, 8 MESAS, 25 CADEIRAS, 2 PORTAS, 20 LIXEIRAS PLÁSTICAS, 1POLTRONA, 1 AGITADOR, MANGUEIRAS, 10 VASOS, 1 MICROONDAS, 1 VENTILADOR, 8 ESTRUTURA CONJUGADA; CADEIRA/MESA COR VERDE 25 EXTINTOR; LOC: BARRA")</f>
      </c>
      <c r="C22" s="4" t="inlineStr">
        <is>
          <t>Vendido</t>
        </is>
      </c>
      <c r="D22" s="4" t="inlineStr">
        <is>
          <t>8</t>
        </is>
      </c>
      <c r="E22" s="5" t="inlineStr">
        <is>
          <t>1.200,00</t>
        </is>
      </c>
      <c r="F22" s="4" t="inlineStr">
        <is>
          <t>100.00</t>
        </is>
      </c>
    </row>
    <row collapsed="false" customFormat="false" customHeight="false" hidden="false" ht="12.1" outlineLevel="0" r="23">
      <c r="A23" s="5" t="s">
        <f>=HYPERLINK("https://www.leilaoonline.com.br/lote/detalhe/121181", "3348")</f>
      </c>
      <c r="B23" s="4" t="s">
        <f>=HYPERLINK("https://www.leilaoonline.com.br/lote/detalhe/121181", " 1 TANQUE FIBRA CAP. APROX.20.000 LTS., SF. LOC.DIAMANTE ")</f>
      </c>
      <c r="C23" s="4" t="inlineStr">
        <is>
          <t>Vendido</t>
        </is>
      </c>
      <c r="D23" s="4" t="inlineStr">
        <is>
          <t>19</t>
        </is>
      </c>
      <c r="E23" s="5" t="inlineStr">
        <is>
          <t>5.000,00</t>
        </is>
      </c>
      <c r="F23" s="4" t="inlineStr">
        <is>
          <t>250.00</t>
        </is>
      </c>
    </row>
    <row collapsed="false" customFormat="false" customHeight="false" hidden="false" ht="12.1" outlineLevel="0" r="24">
      <c r="A24" s="5" t="s">
        <f>=HYPERLINK("https://www.leilaoonline.com.br/lote/detalhe/121172", "3349")</f>
      </c>
      <c r="B24" s="4" t="s">
        <f>=HYPERLINK("https://www.leilaoonline.com.br/lote/detalhe/121172", " 10 POSTES DE MADEIRA E 1 PORTA AZUL, 4 ROLOS TELA, LOC. DIAMANTE ")</f>
      </c>
      <c r="C24" s="4" t="inlineStr">
        <is>
          <t>Vendido</t>
        </is>
      </c>
      <c r="D24" s="4" t="inlineStr">
        <is>
          <t>2</t>
        </is>
      </c>
      <c r="E24" s="5" t="inlineStr">
        <is>
          <t>1.150,00</t>
        </is>
      </c>
      <c r="F24" s="4" t="inlineStr">
        <is>
          <t>150.00</t>
        </is>
      </c>
    </row>
    <row collapsed="false" customFormat="false" customHeight="false" hidden="false" ht="12.1" outlineLevel="0" r="25">
      <c r="A25" s="5" t="s">
        <f>=HYPERLINK("https://www.leilaoonline.com.br/lote/detalhe/121200", "3350")</f>
      </c>
      <c r="B25" s="4" t="s">
        <f>=HYPERLINK("https://www.leilaoonline.com.br/lote/detalhe/121200", " 2 MAQ. SOLDA, 1 GERADOR, 2 CUBAS E 2 VENTILADORES, SF, LOC. DIAMANTE ")</f>
      </c>
      <c r="C25" s="4" t="inlineStr">
        <is>
          <t>Vendido</t>
        </is>
      </c>
      <c r="D25" s="4" t="inlineStr">
        <is>
          <t>2</t>
        </is>
      </c>
      <c r="E25" s="5" t="inlineStr">
        <is>
          <t>650,00</t>
        </is>
      </c>
      <c r="F25" s="4" t="inlineStr">
        <is>
          <t>150.00</t>
        </is>
      </c>
    </row>
    <row collapsed="false" customFormat="false" customHeight="false" hidden="false" ht="12.1" outlineLevel="0" r="26">
      <c r="A26" s="5" t="s">
        <f>=HYPERLINK("https://www.leilaoonline.com.br/lote/detalhe/121191", "3351")</f>
      </c>
      <c r="B26" s="4" t="s">
        <f>=HYPERLINK("https://www.leilaoonline.com.br/lote/detalhe/121191", " TRANSBORDO ATA 12000 12T , FR102025, LOC. DIAMANTE ")</f>
      </c>
      <c r="C26" s="4" t="inlineStr">
        <is>
          <t>Não vendido</t>
        </is>
      </c>
      <c r="D26" s="4" t="inlineStr">
        <is>
          <t>9</t>
        </is>
      </c>
      <c r="E26" s="5" t="inlineStr">
        <is>
          <t>14.000,00</t>
        </is>
      </c>
      <c r="F26" s="4" t="inlineStr">
        <is>
          <t>500.00</t>
        </is>
      </c>
    </row>
    <row collapsed="false" customFormat="false" customHeight="false" hidden="false" ht="12.1" outlineLevel="0" r="27">
      <c r="A27" s="5" t="s">
        <f>=HYPERLINK("https://www.leilaoonline.com.br/lote/detalhe/121190", "3352")</f>
      </c>
      <c r="B27" s="4" t="s">
        <f>=HYPERLINK("https://www.leilaoonline.com.br/lote/detalhe/121190", " TRANSBORDO CARROCERIA ATA 12000, 12T,  ANO 2012, FR361415, LOC.SANTA CANDIDA ")</f>
      </c>
      <c r="C27" s="4" t="inlineStr">
        <is>
          <t>Não vendido</t>
        </is>
      </c>
      <c r="D27" s="4" t="inlineStr">
        <is>
          <t>1</t>
        </is>
      </c>
      <c r="E27" s="5" t="inlineStr">
        <is>
          <t>10.000,00</t>
        </is>
      </c>
      <c r="F27" s="4" t="inlineStr">
        <is>
          <t>500.00</t>
        </is>
      </c>
    </row>
    <row collapsed="false" customFormat="false" customHeight="false" hidden="false" ht="12.1" outlineLevel="0" r="28">
      <c r="A28" s="5" t="s">
        <f>=HYPERLINK("https://www.leilaoonline.com.br/lote/detalhe/121184", "3353")</f>
      </c>
      <c r="B28" s="4" t="s">
        <f>=HYPERLINK("https://www.leilaoonline.com.br/lote/detalhe/121184", " TRANSBORDO COR AZUL ANTONIOSI ATA 10500 12T, ANO 2010, FR70613, LOC.SANTA CANDIDA ")</f>
      </c>
      <c r="C28" s="4" t="inlineStr">
        <is>
          <t>Vendido</t>
        </is>
      </c>
      <c r="D28" s="4" t="inlineStr">
        <is>
          <t>6</t>
        </is>
      </c>
      <c r="E28" s="5" t="inlineStr">
        <is>
          <t>25.000,00</t>
        </is>
      </c>
      <c r="F28" s="4" t="inlineStr">
        <is>
          <t>500.00</t>
        </is>
      </c>
    </row>
    <row collapsed="false" customFormat="false" customHeight="false" hidden="false" ht="12.1" outlineLevel="0" r="29">
      <c r="A29" s="5" t="s">
        <f>=HYPERLINK("https://www.leilaoonline.com.br/lote/detalhe/121169", "3354")</f>
      </c>
      <c r="B29" s="4" t="s">
        <f>=HYPERLINK("https://www.leilaoonline.com.br/lote/detalhe/121169", " TRANSBORDO ATA 10500 12T, ANO 2010, FR102048, LOC.SANTA CANDIDA ")</f>
      </c>
      <c r="C29" s="4" t="inlineStr">
        <is>
          <t>Não vendido</t>
        </is>
      </c>
      <c r="D29" s="4" t="inlineStr">
        <is>
          <t>12</t>
        </is>
      </c>
      <c r="E29" s="5" t="inlineStr">
        <is>
          <t>15.500,00</t>
        </is>
      </c>
      <c r="F29" s="4" t="inlineStr">
        <is>
          <t>500.00</t>
        </is>
      </c>
    </row>
    <row collapsed="false" customFormat="false" customHeight="false" hidden="false" ht="12.1" outlineLevel="0" r="30">
      <c r="A30" s="5" t="s">
        <f>=HYPERLINK("https://www.leilaoonline.com.br/lote/detalhe/121173", "3355")</f>
      </c>
      <c r="B30" s="4" t="s">
        <f>=HYPERLINK("https://www.leilaoonline.com.br/lote/detalhe/121173", " TRANSBORDO ATA 12000 12T, ANO 2012, FR102055, LOC.SANTA CANDIDA ")</f>
      </c>
      <c r="C30" s="4" t="inlineStr">
        <is>
          <t>Não vendido</t>
        </is>
      </c>
      <c r="D30" s="4" t="inlineStr">
        <is>
          <t>12</t>
        </is>
      </c>
      <c r="E30" s="5" t="inlineStr">
        <is>
          <t>15.500,00</t>
        </is>
      </c>
      <c r="F30" s="4" t="inlineStr">
        <is>
          <t>500.00</t>
        </is>
      </c>
    </row>
    <row collapsed="false" customFormat="false" customHeight="false" hidden="false" ht="12.1" outlineLevel="0" r="31">
      <c r="A31" s="5" t="s">
        <f>=HYPERLINK("https://www.leilaoonline.com.br/lote/detalhe/121178", "3356")</f>
      </c>
      <c r="B31" s="4" t="s">
        <f>=HYPERLINK("https://www.leilaoonline.com.br/lote/detalhe/121178", " TRANSBORDO COR AZUL ANTONIOSI ATA 12000 1012895,  ANO 2010, FR102049, LOC.SANTA CANDIDA ")</f>
      </c>
      <c r="C31" s="4" t="inlineStr">
        <is>
          <t>Vendido</t>
        </is>
      </c>
      <c r="D31" s="4" t="inlineStr">
        <is>
          <t>12</t>
        </is>
      </c>
      <c r="E31" s="5" t="inlineStr">
        <is>
          <t>25.000,00</t>
        </is>
      </c>
      <c r="F31" s="4" t="inlineStr">
        <is>
          <t>500.00</t>
        </is>
      </c>
    </row>
    <row collapsed="false" customFormat="false" customHeight="false" hidden="false" ht="12.1" outlineLevel="0" r="32">
      <c r="A32" s="5" t="s">
        <f>=HYPERLINK("https://www.leilaoonline.com.br/lote/detalhe/121185", "3357")</f>
      </c>
      <c r="B32" s="4" t="s">
        <f>=HYPERLINK("https://www.leilaoonline.com.br/lote/detalhe/121185", " TRANSBORDO ATA 12000 12T , ANO 2012, FR361607, LOC.SANTA CANDIDA ")</f>
      </c>
      <c r="C32" s="4" t="inlineStr">
        <is>
          <t>Não vendido</t>
        </is>
      </c>
      <c r="D32" s="4" t="inlineStr">
        <is>
          <t>14</t>
        </is>
      </c>
      <c r="E32" s="5" t="inlineStr">
        <is>
          <t>16.500,00</t>
        </is>
      </c>
      <c r="F32" s="4" t="inlineStr">
        <is>
          <t>500.00</t>
        </is>
      </c>
    </row>
    <row collapsed="false" customFormat="false" customHeight="false" hidden="false" ht="12.1" outlineLevel="0" r="33">
      <c r="A33" s="5" t="s">
        <f>=HYPERLINK("https://www.leilaoonline.com.br/lote/detalhe/121194", "3358")</f>
      </c>
      <c r="B33" s="4" t="s">
        <f>=HYPERLINK("https://www.leilaoonline.com.br/lote/detalhe/121194", " TRANSBORDO ATA 12000 12T, ANO 2012, FR361414, LOC.SANTA CANDIDA ")</f>
      </c>
      <c r="C33" s="4" t="inlineStr">
        <is>
          <t>Vendido</t>
        </is>
      </c>
      <c r="D33" s="4" t="inlineStr">
        <is>
          <t>13</t>
        </is>
      </c>
      <c r="E33" s="5" t="inlineStr">
        <is>
          <t>25.000,00</t>
        </is>
      </c>
      <c r="F33" s="4" t="inlineStr">
        <is>
          <t>500.00</t>
        </is>
      </c>
    </row>
    <row collapsed="false" customFormat="false" customHeight="false" hidden="false" ht="12.1" outlineLevel="0" r="34">
      <c r="A34" s="5" t="s">
        <f>=HYPERLINK("https://www.leilaoonline.com.br/lote/detalhe/121195", "3359")</f>
      </c>
      <c r="B34" s="4" t="s">
        <f>=HYPERLINK("https://www.leilaoonline.com.br/lote/detalhe/121195", " TRANSBORDO ATA 10,500, 12T,  ANO 2010, FR123731, LOC.SANTA CANDIDA ")</f>
      </c>
      <c r="C34" s="4" t="inlineStr">
        <is>
          <t>Não vendido</t>
        </is>
      </c>
      <c r="D34" s="4" t="inlineStr">
        <is>
          <t>1</t>
        </is>
      </c>
      <c r="E34" s="5" t="inlineStr">
        <is>
          <t>10.000,00</t>
        </is>
      </c>
      <c r="F34" s="4" t="inlineStr">
        <is>
          <t>500.00</t>
        </is>
      </c>
    </row>
    <row collapsed="false" customFormat="false" customHeight="false" hidden="false" ht="12.1" outlineLevel="0" r="35">
      <c r="A35" s="5" t="s">
        <f>=HYPERLINK("https://www.leilaoonline.com.br/lote/detalhe/121199", "3360")</f>
      </c>
      <c r="B35" s="4" t="s">
        <f>=HYPERLINK("https://www.leilaoonline.com.br/lote/detalhe/121199", " TRANSBORDO COR AZUL ANTONIOSI ATA  12000 1012478,  ANO 2010, FR101999, LOC.SANTA CANDIDA ")</f>
      </c>
      <c r="C35" s="4" t="inlineStr">
        <is>
          <t>Não vendido</t>
        </is>
      </c>
      <c r="D35" s="4" t="inlineStr">
        <is>
          <t>4</t>
        </is>
      </c>
      <c r="E35" s="5" t="inlineStr">
        <is>
          <t>11.500,00</t>
        </is>
      </c>
      <c r="F35" s="4" t="inlineStr">
        <is>
          <t>500.00</t>
        </is>
      </c>
    </row>
    <row collapsed="false" customFormat="false" customHeight="false" hidden="false" ht="12.1" outlineLevel="0" r="36">
      <c r="A36" s="5" t="s">
        <f>=HYPERLINK("https://www.leilaoonline.com.br/lote/detalhe/121192", "3361")</f>
      </c>
      <c r="B36" s="4" t="s">
        <f>=HYPERLINK("https://www.leilaoonline.com.br/lote/detalhe/121192", "TRANSBORDO ATA 12000 12T, ANO 2010, FR102005, LOC.SANTA CANDIDA ")</f>
      </c>
      <c r="C36" s="4" t="inlineStr">
        <is>
          <t>Vendido</t>
        </is>
      </c>
      <c r="D36" s="4" t="inlineStr">
        <is>
          <t>10</t>
        </is>
      </c>
      <c r="E36" s="5" t="inlineStr">
        <is>
          <t>25.000,00</t>
        </is>
      </c>
      <c r="F36" s="4" t="inlineStr">
        <is>
          <t>500.00</t>
        </is>
      </c>
    </row>
    <row collapsed="false" customFormat="false" customHeight="false" hidden="false" ht="12.1" outlineLevel="0" r="37">
      <c r="A37" s="5" t="s">
        <f>=HYPERLINK("https://www.leilaoonline.com.br/lote/detalhe/121182", "3362")</f>
      </c>
      <c r="B37" s="4" t="s">
        <f>=HYPERLINK("https://www.leilaoonline.com.br/lote/detalhe/121182", " TRANSBORDO ATA 12000 12T, ANO 2011, FR93838, LOC.SANTA CANDIDA ")</f>
      </c>
      <c r="C37" s="4" t="inlineStr">
        <is>
          <t>Vendido</t>
        </is>
      </c>
      <c r="D37" s="4" t="inlineStr">
        <is>
          <t>13</t>
        </is>
      </c>
      <c r="E37" s="5" t="inlineStr">
        <is>
          <t>25.000,00</t>
        </is>
      </c>
      <c r="F37" s="4" t="inlineStr">
        <is>
          <t>500.00</t>
        </is>
      </c>
    </row>
    <row collapsed="false" customFormat="false" customHeight="false" hidden="false" ht="12.1" outlineLevel="0" r="38">
      <c r="A38" s="5" t="s">
        <f>=HYPERLINK("https://www.leilaoonline.com.br/lote/detalhe/121179", "3363")</f>
      </c>
      <c r="B38" s="4" t="s">
        <f>=HYPERLINK("https://www.leilaoonline.com.br/lote/detalhe/121179", " TRANSBORDO ATA 10500 12T, ANO 2010, FR102046, LOC.SANTA CANDIDA ")</f>
      </c>
      <c r="C38" s="4" t="inlineStr">
        <is>
          <t>Não vendido</t>
        </is>
      </c>
      <c r="D38" s="4" t="inlineStr">
        <is>
          <t>6</t>
        </is>
      </c>
      <c r="E38" s="5" t="inlineStr">
        <is>
          <t>12.500,00</t>
        </is>
      </c>
      <c r="F38" s="4" t="inlineStr">
        <is>
          <t>500.00</t>
        </is>
      </c>
    </row>
    <row collapsed="false" customFormat="false" customHeight="false" hidden="false" ht="12.1" outlineLevel="0" r="39">
      <c r="A39" s="5" t="s">
        <f>=HYPERLINK("https://www.leilaoonline.com.br/lote/detalhe/121193", "3364")</f>
      </c>
      <c r="B39" s="4" t="s">
        <f>=HYPERLINK("https://www.leilaoonline.com.br/lote/detalhe/121193", " TRANSBORDO ATA 10500 12T , ANO 2010, FR102020, LOC.SANTA CANDIDA ")</f>
      </c>
      <c r="C39" s="4" t="inlineStr">
        <is>
          <t>Não vendido</t>
        </is>
      </c>
      <c r="D39" s="4" t="inlineStr">
        <is>
          <t>3</t>
        </is>
      </c>
      <c r="E39" s="5" t="inlineStr">
        <is>
          <t>11.000,00</t>
        </is>
      </c>
      <c r="F39" s="4" t="inlineStr">
        <is>
          <t>500.00</t>
        </is>
      </c>
    </row>
    <row collapsed="false" customFormat="false" customHeight="false" hidden="false" ht="12.1" outlineLevel="0" r="40">
      <c r="A40" s="5" t="s">
        <f>=HYPERLINK("https://www.leilaoonline.com.br/lote/detalhe/121189", "3365")</f>
      </c>
      <c r="B40" s="4" t="s">
        <f>=HYPERLINK("https://www.leilaoonline.com.br/lote/detalhe/121189", " TRANSBORDO ATA  10500 12T,  ANO 2010, FR135631, LOC.SANTA CANDIDA ")</f>
      </c>
      <c r="C40" s="4" t="inlineStr">
        <is>
          <t>Não vendido</t>
        </is>
      </c>
      <c r="D40" s="4" t="inlineStr">
        <is>
          <t>1</t>
        </is>
      </c>
      <c r="E40" s="5" t="inlineStr">
        <is>
          <t>10.000,00</t>
        </is>
      </c>
      <c r="F40" s="4" t="inlineStr">
        <is>
          <t>500.00</t>
        </is>
      </c>
    </row>
    <row collapsed="false" customFormat="false" customHeight="false" hidden="false" ht="12.1" outlineLevel="0" r="41">
      <c r="A41" s="5" t="s">
        <f>=HYPERLINK("https://www.leilaoonline.com.br/lote/detalhe/121174", "3366")</f>
      </c>
      <c r="B41" s="4" t="s">
        <f>=HYPERLINK("https://www.leilaoonline.com.br/lote/detalhe/121174", " TRANSBORDO ATA 10500 T12, ANO  2010;  FR93822 - LOC. SANTA CANDIDA/SP")</f>
      </c>
      <c r="C41" s="4" t="inlineStr">
        <is>
          <t>Não vendido</t>
        </is>
      </c>
      <c r="D41" s="4" t="inlineStr">
        <is>
          <t>1</t>
        </is>
      </c>
      <c r="E41" s="5" t="inlineStr">
        <is>
          <t>10.000,00</t>
        </is>
      </c>
      <c r="F41" s="4" t="inlineStr">
        <is>
          <t>500.00</t>
        </is>
      </c>
    </row>
    <row collapsed="false" customFormat="false" customHeight="false" hidden="false" ht="12.1" outlineLevel="0" r="42">
      <c r="A42" s="5" t="s">
        <f>=HYPERLINK("https://www.leilaoonline.com.br/lote/detalhe/121198", "3367")</f>
      </c>
      <c r="B42" s="4" t="s">
        <f>=HYPERLINK("https://www.leilaoonline.com.br/lote/detalhe/121198", " TRANSBORDO ATA 12000 12T, ANO 2012, FR361418, LOC.SANTA CANDIDA ")</f>
      </c>
      <c r="C42" s="4" t="inlineStr">
        <is>
          <t>Vendido</t>
        </is>
      </c>
      <c r="D42" s="4" t="inlineStr">
        <is>
          <t>5</t>
        </is>
      </c>
      <c r="E42" s="5" t="inlineStr">
        <is>
          <t>25.000,00</t>
        </is>
      </c>
      <c r="F42" s="4" t="inlineStr">
        <is>
          <t>500.00</t>
        </is>
      </c>
    </row>
    <row collapsed="false" customFormat="false" customHeight="false" hidden="false" ht="12.1" outlineLevel="0" r="43">
      <c r="A43" s="5" t="s">
        <f>=HYPERLINK("https://www.leilaoonline.com.br/lote/detalhe/121187", "3368")</f>
      </c>
      <c r="B43" s="4" t="s">
        <f>=HYPERLINK("https://www.leilaoonline.com.br/lote/detalhe/121187", " TRANSBORDO ATA 10500, 12T, ANO 2010; FR 102032 - LOC. SANTA CANDIDA/SP")</f>
      </c>
      <c r="C43" s="4" t="inlineStr">
        <is>
          <t>Não vendido</t>
        </is>
      </c>
      <c r="D43" s="4" t="inlineStr">
        <is>
          <t>1</t>
        </is>
      </c>
      <c r="E43" s="5" t="inlineStr">
        <is>
          <t>10.000,00</t>
        </is>
      </c>
      <c r="F43" s="4" t="inlineStr">
        <is>
          <t>500.00</t>
        </is>
      </c>
    </row>
    <row collapsed="false" customFormat="false" customHeight="false" hidden="false" ht="12.1" outlineLevel="0" r="44">
      <c r="A44" s="5" t="s">
        <f>=HYPERLINK("https://www.leilaoonline.com.br/lote/detalhe/121175", "3369")</f>
      </c>
      <c r="B44" s="4" t="s">
        <f>=HYPERLINK("https://www.leilaoonline.com.br/lote/detalhe/121175", " TRANSBORDO ATA 12000 12T, ANO 2012; PAT: FR 107705 - LOC. SANTA CANDIDA/SP ")</f>
      </c>
      <c r="C44" s="4" t="inlineStr">
        <is>
          <t>Não vendido</t>
        </is>
      </c>
      <c r="D44" s="4" t="inlineStr">
        <is>
          <t>11</t>
        </is>
      </c>
      <c r="E44" s="5" t="inlineStr">
        <is>
          <t>15.000,00</t>
        </is>
      </c>
      <c r="F44" s="4" t="inlineStr">
        <is>
          <t>500.00</t>
        </is>
      </c>
    </row>
    <row collapsed="false" customFormat="false" customHeight="false" hidden="false" ht="12.1" outlineLevel="0" r="45">
      <c r="A45" s="5" t="s">
        <f>=HYPERLINK("https://www.leilaoonline.com.br/lote/detalhe/121171", "3370")</f>
      </c>
      <c r="B45" s="4" t="s">
        <f>=HYPERLINK("https://www.leilaoonline.com.br/lote/detalhe/121171", " TRANSBORDO ATA 12000 12T, 2012, FR 70622 - LOC. SANTA CANDIDA/SP")</f>
      </c>
      <c r="C45" s="4" t="inlineStr">
        <is>
          <t>Não vendido</t>
        </is>
      </c>
      <c r="D45" s="4" t="inlineStr">
        <is>
          <t>10</t>
        </is>
      </c>
      <c r="E45" s="5" t="inlineStr">
        <is>
          <t>14.500,00</t>
        </is>
      </c>
      <c r="F45" s="4" t="inlineStr">
        <is>
          <t>500.00</t>
        </is>
      </c>
    </row>
    <row collapsed="false" customFormat="false" customHeight="false" hidden="false" ht="12.1" outlineLevel="0" r="46">
      <c r="A46" s="5" t="s">
        <f>=HYPERLINK("https://www.leilaoonline.com.br/lote/detalhe/121214", "3401")</f>
      </c>
      <c r="B46" s="4" t="s">
        <f>=HYPERLINK("https://www.leilaoonline.com.br/lote/detalhe/121214", "COLHEDORA J. DEERE 3522 2L, ANO 2012,  FR 101480, LOC. BARRA ")</f>
      </c>
      <c r="C46" s="4" t="inlineStr">
        <is>
          <t>Vendido</t>
        </is>
      </c>
      <c r="D46" s="4" t="inlineStr">
        <is>
          <t>38</t>
        </is>
      </c>
      <c r="E46" s="5" t="inlineStr">
        <is>
          <t>68.000,00</t>
        </is>
      </c>
      <c r="F46" s="4" t="inlineStr">
        <is>
          <t>1000.00</t>
        </is>
      </c>
    </row>
    <row collapsed="false" customFormat="false" customHeight="false" hidden="false" ht="12.1" outlineLevel="0" r="47">
      <c r="A47" s="5" t="s">
        <f>=HYPERLINK("https://www.leilaoonline.com.br/lote/detalhe/121205", "3406")</f>
      </c>
      <c r="B47" s="4" t="s">
        <f>=HYPERLINK("https://www.leilaoonline.com.br/lote/detalhe/121205", "MAQUINA DE LAVAR ARROZ CAP 40KG 180L SPM040,  FR 136541, LOC. BARRA ")</f>
      </c>
      <c r="C47" s="4" t="inlineStr">
        <is>
          <t>Vendido</t>
        </is>
      </c>
      <c r="D47" s="4" t="inlineStr">
        <is>
          <t>5</t>
        </is>
      </c>
      <c r="E47" s="5" t="inlineStr">
        <is>
          <t>2.000,00</t>
        </is>
      </c>
      <c r="F47" s="4" t="inlineStr">
        <is>
          <t>250.00</t>
        </is>
      </c>
    </row>
    <row collapsed="false" customFormat="false" customHeight="false" hidden="false" ht="12.1" outlineLevel="0" r="48">
      <c r="A48" s="5" t="s">
        <f>=HYPERLINK("https://www.leilaoonline.com.br/lote/detalhe/121213", "3426")</f>
      </c>
      <c r="B48" s="4" t="s">
        <f>=HYPERLINK("https://www.leilaoonline.com.br/lote/detalhe/121213", " 7 ROSCAS INOX APROX. 8 MTS, COM 3 REDUTORES, SF, LOC. BARRA ")</f>
      </c>
      <c r="C48" s="4" t="inlineStr">
        <is>
          <t>Vendido</t>
        </is>
      </c>
      <c r="D48" s="4" t="inlineStr">
        <is>
          <t>51</t>
        </is>
      </c>
      <c r="E48" s="5" t="inlineStr">
        <is>
          <t>19.000,00</t>
        </is>
      </c>
      <c r="F48" s="4" t="inlineStr">
        <is>
          <t>500.00</t>
        </is>
      </c>
    </row>
    <row collapsed="false" customFormat="false" customHeight="false" hidden="false" ht="12.1" outlineLevel="0" r="49">
      <c r="A49" s="5" t="s">
        <f>=HYPERLINK("https://www.leilaoonline.com.br/lote/detalhe/121188", "3427")</f>
      </c>
      <c r="B49" s="4" t="s">
        <f>=HYPERLINK("https://www.leilaoonline.com.br/lote/detalhe/121188", " TRATOR VALTRA BH 210, ANO 2014 ( MOTOR TRAVADO), FR106672, LOC. DIAMANTE ")</f>
      </c>
      <c r="C49" s="4" t="inlineStr">
        <is>
          <t>Vendido</t>
        </is>
      </c>
      <c r="D49" s="4" t="inlineStr">
        <is>
          <t>132</t>
        </is>
      </c>
      <c r="E49" s="5" t="inlineStr">
        <is>
          <t>180.000,00</t>
        </is>
      </c>
      <c r="F49" s="4" t="inlineStr">
        <is>
          <t>1000.00</t>
        </is>
      </c>
    </row>
    <row collapsed="false" customFormat="false" customHeight="false" hidden="false" ht="12.1" outlineLevel="0" r="50">
      <c r="A50" s="5" t="s">
        <f>=HYPERLINK("https://www.leilaoonline.com.br/lote/detalhe/121180", "3429")</f>
      </c>
      <c r="B50" s="4" t="s">
        <f>=HYPERLINK("https://www.leilaoonline.com.br/lote/detalhe/121180", " TRATOR VALTRA  BH 210I 4X4, ANO 2014,  FR106663, LOC. DIAMANTE ")</f>
      </c>
      <c r="C50" s="4" t="inlineStr">
        <is>
          <t>Não vendido</t>
        </is>
      </c>
      <c r="D50" s="4" t="inlineStr">
        <is>
          <t>94</t>
        </is>
      </c>
      <c r="E50" s="5" t="inlineStr">
        <is>
          <t>214.000,00</t>
        </is>
      </c>
      <c r="F50" s="4" t="inlineStr">
        <is>
          <t>2000.00</t>
        </is>
      </c>
    </row>
    <row collapsed="false" customFormat="false" customHeight="false" hidden="false" ht="12.1" outlineLevel="0" r="51">
      <c r="A51" s="5" t="s">
        <f>=HYPERLINK("https://www.leilaoonline.com.br/lote/detalhe/121177", "3431")</f>
      </c>
      <c r="B51" s="4" t="s">
        <f>=HYPERLINK("https://www.leilaoonline.com.br/lote/detalhe/121177", " TRANSBORDO SANTAL 12T , ANO 2008, FR107702, LOC.DIAMANTE ")</f>
      </c>
      <c r="C51" s="4" t="inlineStr">
        <is>
          <t>Não vendido</t>
        </is>
      </c>
      <c r="D51" s="4" t="inlineStr">
        <is>
          <t>0</t>
        </is>
      </c>
      <c r="E51" s="5" t="inlineStr">
        <is>
          <t>10.000,00</t>
        </is>
      </c>
      <c r="F51" s="4" t="inlineStr">
        <is>
          <t>500.00</t>
        </is>
      </c>
    </row>
    <row collapsed="false" customFormat="false" customHeight="false" hidden="false" ht="12.1" outlineLevel="0" r="52">
      <c r="A52" s="5" t="s">
        <f>=HYPERLINK("https://www.leilaoonline.com.br/lote/detalhe/121167", "3432")</f>
      </c>
      <c r="B52" s="4" t="s">
        <f>=HYPERLINK("https://www.leilaoonline.com.br/lote/detalhe/121167", " TRANSBORDO SANTAL 12T , ANO 2008, FR107701, LOC. DIAMANTE ")</f>
      </c>
      <c r="C52" s="4" t="inlineStr">
        <is>
          <t>Não vendido</t>
        </is>
      </c>
      <c r="D52" s="4" t="inlineStr">
        <is>
          <t>0</t>
        </is>
      </c>
      <c r="E52" s="5" t="inlineStr">
        <is>
          <t>10.000,00</t>
        </is>
      </c>
      <c r="F52" s="4" t="inlineStr">
        <is>
          <t>500.00</t>
        </is>
      </c>
    </row>
    <row collapsed="false" customFormat="false" customHeight="false" hidden="false" ht="12.1" outlineLevel="0" r="53">
      <c r="A53" s="5" t="s">
        <f>=HYPERLINK("https://www.leilaoonline.com.br/lote/detalhe/121176", "3434")</f>
      </c>
      <c r="B53" s="4" t="s">
        <f>=HYPERLINK("https://www.leilaoonline.com.br/lote/detalhe/121176", " 1 CENTRIFUGA, SF , LOC. DIAMANTE ")</f>
      </c>
      <c r="C53" s="4" t="inlineStr">
        <is>
          <t>Não vendido</t>
        </is>
      </c>
      <c r="D53" s="4" t="inlineStr">
        <is>
          <t>5</t>
        </is>
      </c>
      <c r="E53" s="5" t="inlineStr">
        <is>
          <t>2.000,00</t>
        </is>
      </c>
      <c r="F53" s="4" t="inlineStr">
        <is>
          <t>250.00</t>
        </is>
      </c>
    </row>
    <row collapsed="false" customFormat="false" customHeight="false" hidden="false" ht="12.1" outlineLevel="0" r="54">
      <c r="A54" s="5" t="s">
        <f>=HYPERLINK("https://www.leilaoonline.com.br/lote/detalhe/121186", "3587")</f>
      </c>
      <c r="B54" s="4" t="s">
        <f>=HYPERLINK("https://www.leilaoonline.com.br/lote/detalhe/121186", " TRANSBORDO SANTAL; PAT: FR 17344 - LOC. SANTA CANDIDA/SP")</f>
      </c>
      <c r="C54" s="4" t="inlineStr">
        <is>
          <t>Não vendido</t>
        </is>
      </c>
      <c r="D54" s="4" t="inlineStr">
        <is>
          <t>1</t>
        </is>
      </c>
      <c r="E54" s="5" t="inlineStr">
        <is>
          <t>10.000,00</t>
        </is>
      </c>
      <c r="F54" s="4" t="inlineStr">
        <is>
          <t>500.00</t>
        </is>
      </c>
    </row>
    <row collapsed="false" customFormat="false" customHeight="false" hidden="false" ht="12.1" outlineLevel="0" r="55">
      <c r="A55" s="5" t="s">
        <f>=HYPERLINK("https://www.leilaoonline.com.br/lote/detalhe/121168", "3588")</f>
      </c>
      <c r="B55" s="4" t="s">
        <f>=HYPERLINK("https://www.leilaoonline.com.br/lote/detalhe/121168", " MAQUINA PARA BALANCEAMENTO, CARTECH - LOC: SANTA CANDIDA/SP")</f>
      </c>
      <c r="C55" s="4" t="inlineStr">
        <is>
          <t>Não vendido</t>
        </is>
      </c>
      <c r="D55" s="4" t="inlineStr">
        <is>
          <t>29</t>
        </is>
      </c>
      <c r="E55" s="5" t="inlineStr">
        <is>
          <t>5.700,00</t>
        </is>
      </c>
      <c r="F55" s="4" t="inlineStr">
        <is>
          <t>150.00</t>
        </is>
      </c>
    </row>
    <row collapsed="false" customFormat="false" customHeight="false" hidden="false" ht="12.1" outlineLevel="0" r="56">
      <c r="A56" s="5" t="s">
        <f>=HYPERLINK("https://www.leilaoonline.com.br/lote/detalhe/121183", "3589")</f>
      </c>
      <c r="B56" s="4" t="s">
        <f>=HYPERLINK("https://www.leilaoonline.com.br/lote/detalhe/121183", " VW/ NOVO GOL TL MBV, ANO 2016/2017, COR BRANCA ; FR 20073 - LOC. SANTA CANDIDA/SP ")</f>
      </c>
      <c r="C56" s="4" t="inlineStr">
        <is>
          <t>Não vendido</t>
        </is>
      </c>
      <c r="D56" s="4" t="inlineStr">
        <is>
          <t>27</t>
        </is>
      </c>
      <c r="E56" s="5" t="inlineStr">
        <is>
          <t>26.500,00</t>
        </is>
      </c>
      <c r="F56" s="4" t="inlineStr">
        <is>
          <t>500.00</t>
        </is>
      </c>
    </row>
    <row collapsed="false" customFormat="false" customHeight="false" hidden="false" ht="12.1" outlineLevel="0" r="57">
      <c r="A57" s="5" t="s">
        <f>=HYPERLINK("https://www.leilaoonline.com.br/lote/detalhe/121197", "3590")</f>
      </c>
      <c r="B57" s="4" t="s">
        <f>=HYPERLINK("https://www.leilaoonline.com.br/lote/detalhe/121197", " FIAT/STRADA WORKING, ANO 2015/2016, FR19617, COR BRANCA - LOC. SANTA CANDIDA/SP ")</f>
      </c>
      <c r="C57" s="4" t="inlineStr">
        <is>
          <t>Não vendido</t>
        </is>
      </c>
      <c r="D57" s="4" t="inlineStr">
        <is>
          <t>21</t>
        </is>
      </c>
      <c r="E57" s="5" t="inlineStr">
        <is>
          <t>35.000,00</t>
        </is>
      </c>
      <c r="F57" s="4" t="inlineStr">
        <is>
          <t>500.00</t>
        </is>
      </c>
    </row>
    <row collapsed="false" customFormat="false" customHeight="false" hidden="false" ht="12.1" outlineLevel="0" r="58">
      <c r="A58" s="5" t="s">
        <f>=HYPERLINK("https://www.leilaoonline.com.br/lote/detalhe/121170", "3591")</f>
      </c>
      <c r="B58" s="4" t="s">
        <f>=HYPERLINK("https://www.leilaoonline.com.br/lote/detalhe/121170", " PISTÃO, MOTOR E SISTEMA HIDRÁULICO; PAT: 239175 - LOC. SANTA CANDIDA /SP ")</f>
      </c>
      <c r="C58" s="4" t="inlineStr">
        <is>
          <t>Vendido</t>
        </is>
      </c>
      <c r="D58" s="4" t="inlineStr">
        <is>
          <t>35</t>
        </is>
      </c>
      <c r="E58" s="5" t="inlineStr">
        <is>
          <t>8.900,00</t>
        </is>
      </c>
      <c r="F58" s="4" t="inlineStr">
        <is>
          <t>250.00</t>
        </is>
      </c>
    </row>
    <row collapsed="false" customFormat="false" customHeight="false" hidden="false" ht="12.1" outlineLevel="0" r="59">
      <c r="A59" s="5" t="s">
        <f>=HYPERLINK("https://www.leilaoonline.com.br/lote/detalhe/121201", "3592")</f>
      </c>
      <c r="B59" s="4" t="s">
        <f>=HYPERLINK("https://www.leilaoonline.com.br/lote/detalhe/121201", " 1 COMPRESSOR, 1 BETONEIRA. - LOC. SANTA CANDIDA/SP")</f>
      </c>
      <c r="C59" s="4" t="inlineStr">
        <is>
          <t>Vendido</t>
        </is>
      </c>
      <c r="D59" s="4" t="inlineStr">
        <is>
          <t>5</t>
        </is>
      </c>
      <c r="E59" s="5" t="inlineStr">
        <is>
          <t>2.500,00</t>
        </is>
      </c>
      <c r="F59" s="4" t="inlineStr">
        <is>
          <t>250.00</t>
        </is>
      </c>
    </row>
    <row collapsed="false" customFormat="false" customHeight="false" hidden="false" ht="12.1" outlineLevel="0" r="60">
      <c r="A60" s="5" t="s">
        <f>=HYPERLINK("https://www.leilaoonline.com.br/lote/detalhe/121202", "3593")</f>
      </c>
      <c r="B60" s="4" t="s">
        <f>=HYPERLINK("https://www.leilaoonline.com.br/lote/detalhe/121202", " 1 CULTIVADOR DMB; PAT: FR 20126 - LOC. SANTA CANDIDA/SP")</f>
      </c>
      <c r="C60" s="4" t="inlineStr">
        <is>
          <t>Não vendido</t>
        </is>
      </c>
      <c r="D60" s="4" t="inlineStr">
        <is>
          <t>12</t>
        </is>
      </c>
      <c r="E60" s="5" t="inlineStr">
        <is>
          <t>4.500,00</t>
        </is>
      </c>
      <c r="F60" s="4" t="inlineStr">
        <is>
          <t>250.00</t>
        </is>
      </c>
    </row>
    <row collapsed="false" customFormat="false" customHeight="false" hidden="false" ht="12.1" outlineLevel="0" r="61">
      <c r="A61" s="5" t="s">
        <f>=HYPERLINK("https://www.leilaoonline.com.br/lote/detalhe/121204", "3594")</f>
      </c>
      <c r="B61" s="4" t="s">
        <f>=HYPERLINK("https://www.leilaoonline.com.br/lote/detalhe/121204", " 1 SULCADOR, 79256/2012, FR20120- LOC. SANTA CANDIDA/SP")</f>
      </c>
      <c r="C61" s="4" t="inlineStr">
        <is>
          <t>Não vendido</t>
        </is>
      </c>
      <c r="D61" s="4" t="inlineStr">
        <is>
          <t>33</t>
        </is>
      </c>
      <c r="E61" s="5" t="inlineStr">
        <is>
          <t>10.000,00</t>
        </is>
      </c>
      <c r="F61" s="4" t="inlineStr">
        <is>
          <t>250.00</t>
        </is>
      </c>
    </row>
    <row collapsed="false" customFormat="false" customHeight="false" hidden="false" ht="12.1" outlineLevel="0" r="62">
      <c r="A62" s="5" t="s">
        <f>=HYPERLINK("https://www.leilaoonline.com.br/lote/detalhe/121203", "3595")</f>
      </c>
      <c r="B62" s="4" t="s">
        <f>=HYPERLINK("https://www.leilaoonline.com.br/lote/detalhe/121203", "REBOQUE ANTONINI, ANO 1996/1996,  FR46806 - LOC. SANTA CANDIDA/SP")</f>
      </c>
      <c r="C62" s="4" t="inlineStr">
        <is>
          <t>Vendido</t>
        </is>
      </c>
      <c r="D62" s="4" t="inlineStr">
        <is>
          <t>14</t>
        </is>
      </c>
      <c r="E62" s="5" t="inlineStr">
        <is>
          <t>16.500,00</t>
        </is>
      </c>
      <c r="F62" s="4" t="inlineStr">
        <is>
          <t>500.00</t>
        </is>
      </c>
    </row>
    <row collapsed="false" customFormat="false" customHeight="false" hidden="false" ht="12.1" outlineLevel="0" r="63">
      <c r="A63" s="5" t="s">
        <f>=HYPERLINK("https://www.leilaoonline.com.br/lote/detalhe/121224", "3596")</f>
      </c>
      <c r="B63" s="4" t="s">
        <f>=HYPERLINK("https://www.leilaoonline.com.br/lote/detalhe/121224", " MOTOR WEG E VARIADOR COR AZUL; LOC: PARAÍSO")</f>
      </c>
      <c r="C63" s="4" t="inlineStr">
        <is>
          <t>Vendido</t>
        </is>
      </c>
      <c r="D63" s="4" t="inlineStr">
        <is>
          <t>27</t>
        </is>
      </c>
      <c r="E63" s="5" t="inlineStr">
        <is>
          <t>7.500,00</t>
        </is>
      </c>
      <c r="F63" s="4" t="inlineStr">
        <is>
          <t>250.00</t>
        </is>
      </c>
    </row>
    <row collapsed="false" customFormat="false" customHeight="false" hidden="false" ht="12.1" outlineLevel="0" r="64">
      <c r="A64" s="5" t="s">
        <f>=HYPERLINK("https://www.leilaoonline.com.br/lote/detalhe/121227", "3597")</f>
      </c>
      <c r="B64" s="4" t="s">
        <f>=HYPERLINK("https://www.leilaoonline.com.br/lote/detalhe/121227", " REDUTOR CESTARI AMARELO COM 2 ACIONAMENTOS AMARELO; LOC: PARAÍSO")</f>
      </c>
      <c r="C64" s="4" t="inlineStr">
        <is>
          <t>Vendido</t>
        </is>
      </c>
      <c r="D64" s="4" t="inlineStr">
        <is>
          <t>14</t>
        </is>
      </c>
      <c r="E64" s="5" t="inlineStr">
        <is>
          <t>4.250,00</t>
        </is>
      </c>
      <c r="F64" s="4" t="inlineStr">
        <is>
          <t>250.00</t>
        </is>
      </c>
    </row>
    <row collapsed="false" customFormat="false" customHeight="false" hidden="false" ht="12.1" outlineLevel="0" r="65">
      <c r="A65" s="5" t="s">
        <f>=HYPERLINK("https://www.leilaoonline.com.br/lote/detalhe/121230", "3598")</f>
      </c>
      <c r="B65" s="4" t="s">
        <f>=HYPERLINK("https://www.leilaoonline.com.br/lote/detalhe/121230", " BOMBA IMBIL PAT. 242297; LOC: PARAÍSO")</f>
      </c>
      <c r="C65" s="4" t="inlineStr">
        <is>
          <t>Não vendido</t>
        </is>
      </c>
      <c r="D65" s="4" t="inlineStr">
        <is>
          <t>4</t>
        </is>
      </c>
      <c r="E65" s="5" t="inlineStr">
        <is>
          <t>600,00</t>
        </is>
      </c>
      <c r="F65" s="4" t="inlineStr">
        <is>
          <t>100.00</t>
        </is>
      </c>
    </row>
    <row collapsed="false" customFormat="false" customHeight="false" hidden="false" ht="12.1" outlineLevel="0" r="66">
      <c r="A66" s="5" t="s">
        <f>=HYPERLINK("https://www.leilaoonline.com.br/lote/detalhe/121228", "3599")</f>
      </c>
      <c r="B66" s="4" t="s">
        <f>=HYPERLINK("https://www.leilaoonline.com.br/lote/detalhe/121228", " 13 MOTORES ELETRICOS, 2 MOTO GUINCHO PARA PONTE, 5 VALVULAS, 1 TAMBOR COM MANCAL, 1 PAINEL, 10 PEDRAS GRANDES, 2 BORBOLETAS DE VALVULA, 1 EXTINTOR, 1 FLANJE, 1 CABO, 1 BEBEDOURO, 2 BANCOS DE BATERIAS, 1 PRATELEIRAS, 1 ARQUIVO DE AÇO, 5 ESTRUTURAS DE PAINEL, 2 PÁLETES COM PARAFUSOS GRANDE, 5 PLACAS,")</f>
      </c>
      <c r="C66" s="4" t="inlineStr">
        <is>
          <t>Vendido</t>
        </is>
      </c>
      <c r="D66" s="4" t="inlineStr">
        <is>
          <t>13</t>
        </is>
      </c>
      <c r="E66" s="5" t="inlineStr">
        <is>
          <t>15.000,00</t>
        </is>
      </c>
      <c r="F66" s="4" t="inlineStr">
        <is>
          <t>500.00</t>
        </is>
      </c>
    </row>
    <row collapsed="false" customFormat="false" customHeight="false" hidden="false" ht="12.1" outlineLevel="0" r="67">
      <c r="A67" s="5" t="s">
        <f>=HYPERLINK("https://www.leilaoonline.com.br/lote/detalhe/121229", "3600")</f>
      </c>
      <c r="B67" s="4" t="s">
        <f>=HYPERLINK("https://www.leilaoonline.com.br/lote/detalhe/121229", " TRATOR CASE MOD. MAXXUM 180; ANO 2012, FR 19133; LOC: PARAÍSO")</f>
      </c>
      <c r="C67" s="4" t="inlineStr">
        <is>
          <t>Vendido</t>
        </is>
      </c>
      <c r="D67" s="4" t="inlineStr">
        <is>
          <t>111</t>
        </is>
      </c>
      <c r="E67" s="5" t="inlineStr">
        <is>
          <t>140.000,00</t>
        </is>
      </c>
      <c r="F67" s="4" t="inlineStr">
        <is>
          <t>1000.00</t>
        </is>
      </c>
    </row>
    <row collapsed="false" customFormat="false" customHeight="false" hidden="false" ht="12.1" outlineLevel="0" r="68">
      <c r="A68" s="5" t="s">
        <f>=HYPERLINK("https://www.leilaoonline.com.br/lote/detalhe/121226", "3601")</f>
      </c>
      <c r="B68" s="4" t="s">
        <f>=HYPERLINK("https://www.leilaoonline.com.br/lote/detalhe/121226", " 1 ROSCA COM COCHO,  1 EIXO, 50 CANTONEIRAS DE PLASTICO AZUL, 2 POSTES, 29 REFLETORES, 20 ELETROCALHA E 3 PAINEIS; LOC: PARAÍSO")</f>
      </c>
      <c r="C68" s="4" t="inlineStr">
        <is>
          <t>Vendido</t>
        </is>
      </c>
      <c r="D68" s="4" t="inlineStr">
        <is>
          <t>3</t>
        </is>
      </c>
      <c r="E68" s="5" t="inlineStr">
        <is>
          <t>1.750,00</t>
        </is>
      </c>
      <c r="F68" s="4" t="inlineStr">
        <is>
          <t>250.00</t>
        </is>
      </c>
    </row>
    <row collapsed="false" customFormat="false" customHeight="false" hidden="false" ht="12.1" outlineLevel="0" r="69">
      <c r="A69" s="5" t="s">
        <f>=HYPERLINK("https://www.leilaoonline.com.br/lote/detalhe/121225", "3602")</f>
      </c>
      <c r="B69" s="4" t="s">
        <f>=HYPERLINK("https://www.leilaoonline.com.br/lote/detalhe/121225", " TROCADOR DE CALOR DESMONTADO/ BASE DE PLACAS; LOC: PARAÍSO")</f>
      </c>
      <c r="C69" s="4" t="inlineStr">
        <is>
          <t>Vendido</t>
        </is>
      </c>
      <c r="D69" s="4" t="inlineStr">
        <is>
          <t>18</t>
        </is>
      </c>
      <c r="E69" s="5" t="inlineStr">
        <is>
          <t>5.750,00</t>
        </is>
      </c>
      <c r="F69" s="4" t="inlineStr">
        <is>
          <t>250.00</t>
        </is>
      </c>
    </row>
    <row collapsed="false" customFormat="false" customHeight="false" hidden="false" ht="12.1" outlineLevel="0" r="70">
      <c r="A70" s="5" t="s">
        <f>=HYPERLINK("https://www.leilaoonline.com.br/lote/detalhe/121217", "3603")</f>
      </c>
      <c r="B70" s="4" t="s">
        <f>=HYPERLINK("https://www.leilaoonline.com.br/lote/detalhe/121217", " ROLO PÉ DE CARNEIRO - LOC. PARAISO/SP")</f>
      </c>
      <c r="C70" s="4" t="inlineStr">
        <is>
          <t>Vendido</t>
        </is>
      </c>
      <c r="D70" s="4" t="inlineStr">
        <is>
          <t>33</t>
        </is>
      </c>
      <c r="E70" s="5" t="inlineStr">
        <is>
          <t>5.600,00</t>
        </is>
      </c>
      <c r="F70" s="4" t="inlineStr">
        <is>
          <t>250.00</t>
        </is>
      </c>
    </row>
    <row collapsed="false" customFormat="false" customHeight="false" hidden="false" ht="12.1" outlineLevel="0" r="71">
      <c r="A71" s="5" t="s">
        <f>=HYPERLINK("https://www.leilaoonline.com.br/lote/detalhe/121216", "3604")</f>
      </c>
      <c r="B71" s="4" t="s">
        <f>=HYPERLINK("https://www.leilaoonline.com.br/lote/detalhe/121216", " 4 TONELADAS, TUBO DE EVAPORAÇÃO 1/2 P, APROX. 4 METROS DE COMPRIMENTO. (VENDA POR KILO) - LOC. PARAISO/SP")</f>
      </c>
      <c r="C71" s="4" t="inlineStr">
        <is>
          <t>Vendido</t>
        </is>
      </c>
      <c r="D71" s="4" t="inlineStr">
        <is>
          <t>19</t>
        </is>
      </c>
      <c r="E71" s="5" t="inlineStr">
        <is>
          <t>24.400,00</t>
        </is>
      </c>
      <c r="F71" s="4" t="inlineStr">
        <is>
          <t>0.10</t>
        </is>
      </c>
    </row>
    <row collapsed="false" customFormat="false" customHeight="false" hidden="false" ht="12.1" outlineLevel="0" r="72">
      <c r="A72" s="5" t="s">
        <f>=HYPERLINK("https://www.leilaoonline.com.br/lote/detalhe/121220", "3605")</f>
      </c>
      <c r="B72" s="4" t="s">
        <f>=HYPERLINK("https://www.leilaoonline.com.br/lote/detalhe/121220", " 20 TONELADAS, TUBO DE EVAPORAÇÃO 1/2 P, APROX. 4 METROS DE COMPRIMENTO. (VENDA POR KILO) - LOC. PARAISO/SP")</f>
      </c>
      <c r="C72" s="4" t="inlineStr">
        <is>
          <t>Vendido</t>
        </is>
      </c>
      <c r="D72" s="4" t="inlineStr">
        <is>
          <t>16</t>
        </is>
      </c>
      <c r="E72" s="5" t="inlineStr">
        <is>
          <t>190.850,00</t>
        </is>
      </c>
      <c r="F72" s="4" t="inlineStr">
        <is>
          <t>0.10</t>
        </is>
      </c>
    </row>
    <row collapsed="false" customFormat="false" customHeight="false" hidden="false" ht="12.1" outlineLevel="0" r="73">
      <c r="A73" s="5" t="s">
        <f>=HYPERLINK("https://www.leilaoonline.com.br/lote/detalhe/121219", "3606")</f>
      </c>
      <c r="B73" s="4" t="s">
        <f>=HYPERLINK("https://www.leilaoonline.com.br/lote/detalhe/121219", " 4 REFLETORES, 20 SUCATAS DE ELETRO/ELETRONICA, 2 AR-CONDICIONADOS, 1 BAG DE FIAÇÃO, 5 BANCO DE FIAÇÃO. - LOC. PARAISO/SP")</f>
      </c>
      <c r="C73" s="4" t="inlineStr">
        <is>
          <t>Vendido</t>
        </is>
      </c>
      <c r="D73" s="4" t="inlineStr">
        <is>
          <t>2</t>
        </is>
      </c>
      <c r="E73" s="5" t="inlineStr">
        <is>
          <t>600,00</t>
        </is>
      </c>
      <c r="F73" s="4" t="inlineStr">
        <is>
          <t>100.00</t>
        </is>
      </c>
    </row>
    <row collapsed="false" customFormat="false" customHeight="false" hidden="false" ht="12.1" outlineLevel="0" r="74">
      <c r="A74" s="5" t="s">
        <f>=HYPERLINK("https://www.leilaoonline.com.br/lote/detalhe/122585", "3702")</f>
      </c>
      <c r="B74" s="4" t="s">
        <f>=HYPERLINK("https://www.leilaoonline.com.br/lote/detalhe/122585", "LOTE DE SUCATA DE MÓVEIS E UTENSILIOS EM GERAL  ( 02 mesas brancas grandes, 04 bancos grandes, 02 mesas brancas pequenas quadradas, 15 cadeiras brancas pequenas, 05 cadeiras brancas, 02 jogos de três cadeiras( juntas), 03 poltronas, 02 tv de tubo, 04 cadeiras com braço, 01 freezer , 08 cadeiras esto")</f>
      </c>
      <c r="C74" s="4" t="inlineStr">
        <is>
          <t>Vendido</t>
        </is>
      </c>
      <c r="D74" s="4" t="inlineStr">
        <is>
          <t>2</t>
        </is>
      </c>
      <c r="E74" s="5" t="inlineStr">
        <is>
          <t>600,00</t>
        </is>
      </c>
      <c r="F74" s="4" t="inlineStr">
        <is>
          <t>100.00</t>
        </is>
      </c>
    </row>
    <row collapsed="false" customFormat="false" customHeight="false" hidden="false" ht="12.1" outlineLevel="0" r="75">
      <c r="A75" s="5" t="s">
        <f>=HYPERLINK("https://www.leilaoonline.com.br/lote/detalhe/122193", "16320")</f>
      </c>
      <c r="B75" s="4" t="s">
        <f>=HYPERLINK("https://www.leilaoonline.com.br/lote/detalhe/122193", "TRATOR CASE MX 240 MAGNUM 4X4, ANO 2010,  FR100051, LOC. GASA ")</f>
      </c>
      <c r="C75" s="4" t="inlineStr">
        <is>
          <t>Vendido</t>
        </is>
      </c>
      <c r="D75" s="4" t="inlineStr">
        <is>
          <t>78</t>
        </is>
      </c>
      <c r="E75" s="5" t="inlineStr">
        <is>
          <t>97.000,00</t>
        </is>
      </c>
      <c r="F75" s="4" t="inlineStr">
        <is>
          <t>1000.00</t>
        </is>
      </c>
    </row>
    <row collapsed="false" customFormat="false" customHeight="false" hidden="false" ht="12.1" outlineLevel="0" r="76">
      <c r="A76" s="5" t="s">
        <f>=HYPERLINK("https://www.leilaoonline.com.br/lote/detalhe/122194", "16357")</f>
      </c>
      <c r="B76" s="4" t="s">
        <f>=HYPERLINK("https://www.leilaoonline.com.br/lote/detalhe/122194", " ONIBUS M/BENZ OF 1620, ANO 1995/1995, FR81357, LOC. UNIVALEM")</f>
      </c>
      <c r="C76" s="4" t="inlineStr">
        <is>
          <t>Vendido</t>
        </is>
      </c>
      <c r="D76" s="4" t="inlineStr">
        <is>
          <t>5</t>
        </is>
      </c>
      <c r="E76" s="5" t="inlineStr">
        <is>
          <t>12.000,00</t>
        </is>
      </c>
      <c r="F76" s="4" t="inlineStr">
        <is>
          <t>500.00</t>
        </is>
      </c>
    </row>
    <row collapsed="false" customFormat="false" customHeight="false" hidden="false" ht="12.1" outlineLevel="0" r="77">
      <c r="A77" s="5" t="s">
        <f>=HYPERLINK("https://www.leilaoonline.com.br/lote/detalhe/122195", "16380")</f>
      </c>
      <c r="B77" s="4" t="s">
        <f>=HYPERLINK("https://www.leilaoonline.com.br/lote/detalhe/122195", " REBOQUE RANDON CANA PICADA, ANO 2012/2013, FR112533, LOC. MUNDIAL ")</f>
      </c>
      <c r="C77" s="4" t="inlineStr">
        <is>
          <t>Não vendido</t>
        </is>
      </c>
      <c r="D77" s="4" t="inlineStr">
        <is>
          <t>0</t>
        </is>
      </c>
      <c r="E77" s="5" t="inlineStr">
        <is>
          <t>25.000,00</t>
        </is>
      </c>
      <c r="F77" s="4" t="inlineStr">
        <is>
          <t>1000.00</t>
        </is>
      </c>
    </row>
    <row collapsed="false" customFormat="false" customHeight="false" hidden="false" ht="12.1" outlineLevel="0" r="78">
      <c r="A78" s="5" t="s">
        <f>=HYPERLINK("https://www.leilaoonline.com.br/lote/detalhe/121258", "17114")</f>
      </c>
      <c r="B78" s="4" t="s">
        <f>=HYPERLINK("https://www.leilaoonline.com.br/lote/detalhe/121258", " EXAUSTOR, SF , LOC. PARAGUAÇU")</f>
      </c>
      <c r="C78" s="4" t="inlineStr">
        <is>
          <t>Vendido</t>
        </is>
      </c>
      <c r="D78" s="4" t="inlineStr">
        <is>
          <t>4</t>
        </is>
      </c>
      <c r="E78" s="5" t="inlineStr">
        <is>
          <t>1.450,00</t>
        </is>
      </c>
      <c r="F78" s="4" t="inlineStr">
        <is>
          <t>150.00</t>
        </is>
      </c>
    </row>
    <row collapsed="false" customFormat="false" customHeight="false" hidden="false" ht="12.1" outlineLevel="0" r="79">
      <c r="A79" s="5" t="s">
        <f>=HYPERLINK("https://www.leilaoonline.com.br/lote/detalhe/121251", "17187")</f>
      </c>
      <c r="B79" s="4" t="s">
        <f>=HYPERLINK("https://www.leilaoonline.com.br/lote/detalhe/121251", " TANQUE AÇO CARBONO CILINDRO VERTICAL, 5m³, SF,  LOC.PARAGUAÇU")</f>
      </c>
      <c r="C79" s="4" t="inlineStr">
        <is>
          <t>Não vendido</t>
        </is>
      </c>
      <c r="D79" s="4" t="inlineStr">
        <is>
          <t>0</t>
        </is>
      </c>
      <c r="E79" s="5" t="inlineStr">
        <is>
          <t>3.000,00</t>
        </is>
      </c>
      <c r="F79" s="4" t="inlineStr">
        <is>
          <t>250.00</t>
        </is>
      </c>
    </row>
    <row collapsed="false" customFormat="false" customHeight="false" hidden="false" ht="12.1" outlineLevel="0" r="80">
      <c r="A80" s="5" t="s">
        <f>=HYPERLINK("https://www.leilaoonline.com.br/lote/detalhe/121244", "17188")</f>
      </c>
      <c r="B80" s="4" t="s">
        <f>=HYPERLINK("https://www.leilaoonline.com.br/lote/detalhe/121244", " TANQUE AÇO CARBONO CILINDRO VERT, 15m³,SF,  LOC.PARAGUAÇU ")</f>
      </c>
      <c r="C80" s="4" t="inlineStr">
        <is>
          <t>Vendido</t>
        </is>
      </c>
      <c r="D80" s="4" t="inlineStr">
        <is>
          <t>1</t>
        </is>
      </c>
      <c r="E80" s="5" t="inlineStr">
        <is>
          <t>3.250,00</t>
        </is>
      </c>
      <c r="F80" s="4" t="inlineStr">
        <is>
          <t>250.00</t>
        </is>
      </c>
    </row>
    <row collapsed="false" customFormat="false" customHeight="false" hidden="false" ht="12.1" outlineLevel="0" r="81">
      <c r="A81" s="5" t="s">
        <f>=HYPERLINK("https://www.leilaoonline.com.br/lote/detalhe/121247", "17237")</f>
      </c>
      <c r="B81" s="4" t="s">
        <f>=HYPERLINK("https://www.leilaoonline.com.br/lote/detalhe/121247", " PEÇAS SISTEMA ADIABATÍCO,SF,  LOC. TARUMÃ")</f>
      </c>
      <c r="C81" s="4" t="inlineStr">
        <is>
          <t>Vendido</t>
        </is>
      </c>
      <c r="D81" s="4" t="inlineStr">
        <is>
          <t>25</t>
        </is>
      </c>
      <c r="E81" s="5" t="inlineStr">
        <is>
          <t>4.600,00</t>
        </is>
      </c>
      <c r="F81" s="4" t="inlineStr">
        <is>
          <t>150.00</t>
        </is>
      </c>
    </row>
    <row collapsed="false" customFormat="false" customHeight="false" hidden="false" ht="12.1" outlineLevel="0" r="82">
      <c r="A82" s="5" t="s">
        <f>=HYPERLINK("https://www.leilaoonline.com.br/lote/detalhe/121889", "17261")</f>
      </c>
      <c r="B82" s="4" t="s">
        <f>=HYPERLINK("https://www.leilaoonline.com.br/lote/detalhe/121889", " REBOQUE RANDON, 2012/2013, (S/PNEUS E S/ RODAS) FR82685, LOC. IPAUSSU ")</f>
      </c>
      <c r="C82" s="4" t="inlineStr">
        <is>
          <t>Não vendido</t>
        </is>
      </c>
      <c r="D82" s="4" t="inlineStr">
        <is>
          <t>5</t>
        </is>
      </c>
      <c r="E82" s="5" t="inlineStr">
        <is>
          <t>45.000,00</t>
        </is>
      </c>
      <c r="F82" s="4" t="inlineStr">
        <is>
          <t>1000.00</t>
        </is>
      </c>
    </row>
    <row collapsed="false" customFormat="false" customHeight="false" hidden="false" ht="12.1" outlineLevel="0" r="83">
      <c r="A83" s="5" t="s">
        <f>=HYPERLINK("https://www.leilaoonline.com.br/lote/detalhe/121240", "17371")</f>
      </c>
      <c r="B83" s="4" t="s">
        <f>=HYPERLINK("https://www.leilaoonline.com.br/lote/detalhe/121240", " S.REBOQUE  RANDON 12,50 M, ANO 2008, (S/PNEUS E S/ RODAS) FR112511, LOC. IPAUSSU ")</f>
      </c>
      <c r="C83" s="4" t="inlineStr">
        <is>
          <t>Não vendido</t>
        </is>
      </c>
      <c r="D83" s="4" t="inlineStr">
        <is>
          <t>6</t>
        </is>
      </c>
      <c r="E83" s="5" t="inlineStr">
        <is>
          <t>35.000,00</t>
        </is>
      </c>
      <c r="F83" s="4" t="inlineStr">
        <is>
          <t>1000.00</t>
        </is>
      </c>
    </row>
    <row collapsed="false" customFormat="false" customHeight="false" hidden="false" ht="12.1" outlineLevel="0" r="84">
      <c r="A84" s="5" t="s">
        <f>=HYPERLINK("https://www.leilaoonline.com.br/lote/detalhe/121241", "17372")</f>
      </c>
      <c r="B84" s="4" t="s">
        <f>=HYPERLINK("https://www.leilaoonline.com.br/lote/detalhe/121241", " REBOQUE 4E RANDON 12,5M, ANO 2010, (S/PNEUS E S/ RODAS) FR46871, LOC. IPAUSSU ")</f>
      </c>
      <c r="C84" s="4" t="inlineStr">
        <is>
          <t>Vendido</t>
        </is>
      </c>
      <c r="D84" s="4" t="inlineStr">
        <is>
          <t>12</t>
        </is>
      </c>
      <c r="E84" s="5" t="inlineStr">
        <is>
          <t>45.000,00</t>
        </is>
      </c>
      <c r="F84" s="4" t="inlineStr">
        <is>
          <t>1000.00</t>
        </is>
      </c>
    </row>
    <row collapsed="false" customFormat="false" customHeight="false" hidden="false" ht="12.1" outlineLevel="0" r="85">
      <c r="A85" s="5" t="s">
        <f>=HYPERLINK("https://www.leilaoonline.com.br/lote/detalhe/121242", "17373")</f>
      </c>
      <c r="B85" s="4" t="s">
        <f>=HYPERLINK("https://www.leilaoonline.com.br/lote/detalhe/121242", " REBOQUE 4E RANDON 12,5M , ANO 2010, (S/PNEUS E S/ RODAS) FR46888, LOC. IPAUSSU ")</f>
      </c>
      <c r="C85" s="4" t="inlineStr">
        <is>
          <t>Vendido</t>
        </is>
      </c>
      <c r="D85" s="4" t="inlineStr">
        <is>
          <t>20</t>
        </is>
      </c>
      <c r="E85" s="5" t="inlineStr">
        <is>
          <t>49.500,00</t>
        </is>
      </c>
      <c r="F85" s="4" t="inlineStr">
        <is>
          <t>1000.00</t>
        </is>
      </c>
    </row>
    <row collapsed="false" customFormat="false" customHeight="false" hidden="false" ht="12.1" outlineLevel="0" r="86">
      <c r="A86" s="5" t="s">
        <f>=HYPERLINK("https://www.leilaoonline.com.br/lote/detalhe/121245", "17374")</f>
      </c>
      <c r="B86" s="4" t="s">
        <f>=HYPERLINK("https://www.leilaoonline.com.br/lote/detalhe/121245", " REBOQUE 4E RANDON 12,5M ,ANO 2012, (S/PNEUS E S/ RODAS) FR46955, LOC. IPAUSSU ")</f>
      </c>
      <c r="C86" s="4" t="inlineStr">
        <is>
          <t>Não vendido</t>
        </is>
      </c>
      <c r="D86" s="4" t="inlineStr">
        <is>
          <t>3</t>
        </is>
      </c>
      <c r="E86" s="5" t="inlineStr">
        <is>
          <t>32.000,00</t>
        </is>
      </c>
      <c r="F86" s="4" t="inlineStr">
        <is>
          <t>1000.00</t>
        </is>
      </c>
    </row>
    <row collapsed="false" customFormat="false" customHeight="false" hidden="false" ht="12.1" outlineLevel="0" r="87">
      <c r="A87" s="5" t="s">
        <f>=HYPERLINK("https://www.leilaoonline.com.br/lote/detalhe/121255", "17375")</f>
      </c>
      <c r="B87" s="4" t="s">
        <f>=HYPERLINK("https://www.leilaoonline.com.br/lote/detalhe/121255", " S.REBOQUE  RANDON 12,50 M,ANO 2013, (S/PNEUS E S/ RODAS) FR70809, LOC. IPAUSSU ")</f>
      </c>
      <c r="C87" s="4" t="inlineStr">
        <is>
          <t>Vendido</t>
        </is>
      </c>
      <c r="D87" s="4" t="inlineStr">
        <is>
          <t>13</t>
        </is>
      </c>
      <c r="E87" s="5" t="inlineStr">
        <is>
          <t>42.000,00</t>
        </is>
      </c>
      <c r="F87" s="4" t="inlineStr">
        <is>
          <t>1000.00</t>
        </is>
      </c>
    </row>
    <row collapsed="false" customFormat="false" customHeight="false" hidden="false" ht="12.1" outlineLevel="0" r="88">
      <c r="A88" s="5" t="s">
        <f>=HYPERLINK("https://www.leilaoonline.com.br/lote/detalhe/121239", "17376")</f>
      </c>
      <c r="B88" s="4" t="s">
        <f>=HYPERLINK("https://www.leilaoonline.com.br/lote/detalhe/121239", " S.REBOQUE  RANDON 12,50 M, ANO 2008, (S/PNEUS E S/ RODAS) FR112506, LOC.IPAUSSU ")</f>
      </c>
      <c r="C88" s="4" t="inlineStr">
        <is>
          <t>Vendido</t>
        </is>
      </c>
      <c r="D88" s="4" t="inlineStr">
        <is>
          <t>9</t>
        </is>
      </c>
      <c r="E88" s="5" t="inlineStr">
        <is>
          <t>38.000,00</t>
        </is>
      </c>
      <c r="F88" s="4" t="inlineStr">
        <is>
          <t>1000.00</t>
        </is>
      </c>
    </row>
    <row collapsed="false" customFormat="false" customHeight="false" hidden="false" ht="12.1" outlineLevel="0" r="89">
      <c r="A89" s="5" t="s">
        <f>=HYPERLINK("https://www.leilaoonline.com.br/lote/detalhe/121260", "17377")</f>
      </c>
      <c r="B89" s="4" t="s">
        <f>=HYPERLINK("https://www.leilaoonline.com.br/lote/detalhe/121260", " REBOQUE 4E RANDON 12,5M, ANO 2012, (S/PNEUS E S/ RODAS) FR46953, LOC.IPAUSSU ")</f>
      </c>
      <c r="C89" s="4" t="inlineStr">
        <is>
          <t>Vendido</t>
        </is>
      </c>
      <c r="D89" s="4" t="inlineStr">
        <is>
          <t>15</t>
        </is>
      </c>
      <c r="E89" s="5" t="inlineStr">
        <is>
          <t>44.000,00</t>
        </is>
      </c>
      <c r="F89" s="4" t="inlineStr">
        <is>
          <t>1000.00</t>
        </is>
      </c>
    </row>
    <row collapsed="false" customFormat="false" customHeight="false" hidden="false" ht="12.1" outlineLevel="0" r="90">
      <c r="A90" s="5" t="s">
        <f>=HYPERLINK("https://www.leilaoonline.com.br/lote/detalhe/121249", "17379")</f>
      </c>
      <c r="B90" s="4" t="s">
        <f>=HYPERLINK("https://www.leilaoonline.com.br/lote/detalhe/121249", " REBOQUE 4E RANDON 12,5M, ANO 2010, (S/PNEUS E S/ RODAS) FR46904, LOC. IPAUSSU ")</f>
      </c>
      <c r="C90" s="4" t="inlineStr">
        <is>
          <t>Vendido</t>
        </is>
      </c>
      <c r="D90" s="4" t="inlineStr">
        <is>
          <t>17</t>
        </is>
      </c>
      <c r="E90" s="5" t="inlineStr">
        <is>
          <t>46.000,00</t>
        </is>
      </c>
      <c r="F90" s="4" t="inlineStr">
        <is>
          <t>1000.00</t>
        </is>
      </c>
    </row>
    <row collapsed="false" customFormat="false" customHeight="false" hidden="false" ht="12.1" outlineLevel="0" r="91">
      <c r="A91" s="5" t="s">
        <f>=HYPERLINK("https://www.leilaoonline.com.br/lote/detalhe/121250", "17380")</f>
      </c>
      <c r="B91" s="4" t="s">
        <f>=HYPERLINK("https://www.leilaoonline.com.br/lote/detalhe/121250", " REBOQUE 4E RANDON 12,5M, ANO 2010, (S/PNEUS E S/ RODAS) FR46888, LOC. IPAUSSU ")</f>
      </c>
      <c r="C91" s="4" t="inlineStr">
        <is>
          <t>Vendido</t>
        </is>
      </c>
      <c r="D91" s="4" t="inlineStr">
        <is>
          <t>9</t>
        </is>
      </c>
      <c r="E91" s="5" t="inlineStr">
        <is>
          <t>45.000,00</t>
        </is>
      </c>
      <c r="F91" s="4" t="inlineStr">
        <is>
          <t>1000.00</t>
        </is>
      </c>
    </row>
    <row collapsed="false" customFormat="false" customHeight="false" hidden="false" ht="12.1" outlineLevel="0" r="92">
      <c r="A92" s="5" t="s">
        <f>=HYPERLINK("https://www.leilaoonline.com.br/lote/detalhe/121243", "17381")</f>
      </c>
      <c r="B92" s="4" t="s">
        <f>=HYPERLINK("https://www.leilaoonline.com.br/lote/detalhe/121243", " SEMI-REBOQUE RANDON 12,50 M ,ANO 2012, (S/PNEUS E S/ RODAS) FR 46925, LOC. IPAUSSU ")</f>
      </c>
      <c r="C92" s="4" t="inlineStr">
        <is>
          <t>Vendido</t>
        </is>
      </c>
      <c r="D92" s="4" t="inlineStr">
        <is>
          <t>9</t>
        </is>
      </c>
      <c r="E92" s="5" t="inlineStr">
        <is>
          <t>50.000,00</t>
        </is>
      </c>
      <c r="F92" s="4" t="inlineStr">
        <is>
          <t>1000.00</t>
        </is>
      </c>
    </row>
    <row collapsed="false" customFormat="false" customHeight="false" hidden="false" ht="12.1" outlineLevel="0" r="93">
      <c r="A93" s="5" t="s">
        <f>=HYPERLINK("https://www.leilaoonline.com.br/lote/detalhe/121256", "17382")</f>
      </c>
      <c r="B93" s="4" t="s">
        <f>=HYPERLINK("https://www.leilaoonline.com.br/lote/detalhe/121256", " SEMI-REBOQUE RANDON 12,50 M, ANO 2012, (S/PNEUS E S/ RODAS) FR 46922, LOC. IPAUSSU ")</f>
      </c>
      <c r="C93" s="4" t="inlineStr">
        <is>
          <t>Não vendido</t>
        </is>
      </c>
      <c r="D93" s="4" t="inlineStr">
        <is>
          <t>3</t>
        </is>
      </c>
      <c r="E93" s="5" t="inlineStr">
        <is>
          <t>32.000,00</t>
        </is>
      </c>
      <c r="F93" s="4" t="inlineStr">
        <is>
          <t>1000.00</t>
        </is>
      </c>
    </row>
    <row collapsed="false" customFormat="false" customHeight="false" hidden="false" ht="12.1" outlineLevel="0" r="94">
      <c r="A94" s="5" t="s">
        <f>=HYPERLINK("https://www.leilaoonline.com.br/lote/detalhe/121253", "17383")</f>
      </c>
      <c r="B94" s="4" t="s">
        <f>=HYPERLINK("https://www.leilaoonline.com.br/lote/detalhe/121253", " REBOQUE 4E RANDON 12,5M,ANO 2014, (S/PNEUS E S/ RODAS) FR46976,LOC. IPAUSSU ")</f>
      </c>
      <c r="C94" s="4" t="inlineStr">
        <is>
          <t>Não vendido</t>
        </is>
      </c>
      <c r="D94" s="4" t="inlineStr">
        <is>
          <t>18</t>
        </is>
      </c>
      <c r="E94" s="5" t="inlineStr">
        <is>
          <t>46.500,00</t>
        </is>
      </c>
      <c r="F94" s="4" t="inlineStr">
        <is>
          <t>1000.00</t>
        </is>
      </c>
    </row>
    <row collapsed="false" customFormat="false" customHeight="false" hidden="false" ht="12.1" outlineLevel="0" r="95">
      <c r="A95" s="5" t="s">
        <f>=HYPERLINK("https://www.leilaoonline.com.br/lote/detalhe/121254", "17385")</f>
      </c>
      <c r="B95" s="4" t="s">
        <f>=HYPERLINK("https://www.leilaoonline.com.br/lote/detalhe/121254", " S.REBOQUE  RANDON 12,50 M, ANO 2013, (S/PNEUS E S/ RODAS) FR70812, LOC. IPAUSSU ")</f>
      </c>
      <c r="C95" s="4" t="inlineStr">
        <is>
          <t>Vendido</t>
        </is>
      </c>
      <c r="D95" s="4" t="inlineStr">
        <is>
          <t>19</t>
        </is>
      </c>
      <c r="E95" s="5" t="inlineStr">
        <is>
          <t>48.000,00</t>
        </is>
      </c>
      <c r="F95" s="4" t="inlineStr">
        <is>
          <t>1000.00</t>
        </is>
      </c>
    </row>
    <row collapsed="false" customFormat="false" customHeight="false" hidden="false" ht="12.1" outlineLevel="0" r="96">
      <c r="A96" s="5" t="s">
        <f>=HYPERLINK("https://www.leilaoonline.com.br/lote/detalhe/121257", "17386")</f>
      </c>
      <c r="B96" s="4" t="s">
        <f>=HYPERLINK("https://www.leilaoonline.com.br/lote/detalhe/121257", " PÁ DE TRATOR MARCA TATU, MARCHESAN PCA1100 SERIE 12016 SF, , LOC. IPAUSSU ")</f>
      </c>
      <c r="C96" s="4" t="inlineStr">
        <is>
          <t>Vendido</t>
        </is>
      </c>
      <c r="D96" s="4" t="inlineStr">
        <is>
          <t>65</t>
        </is>
      </c>
      <c r="E96" s="5" t="inlineStr">
        <is>
          <t>18.000,00</t>
        </is>
      </c>
      <c r="F96" s="4" t="inlineStr">
        <is>
          <t>250.00</t>
        </is>
      </c>
    </row>
    <row collapsed="false" customFormat="false" customHeight="false" hidden="false" ht="12.1" outlineLevel="0" r="97">
      <c r="A97" s="5" t="s">
        <f>=HYPERLINK("https://www.leilaoonline.com.br/lote/detalhe/121252", "17387")</f>
      </c>
      <c r="B97" s="4" t="s">
        <f>=HYPERLINK("https://www.leilaoonline.com.br/lote/detalhe/121252", " CALDEIRAO ARROZ E REFRIGERADOR, SF,  LOC. TARUMÃ")</f>
      </c>
      <c r="C97" s="4" t="inlineStr">
        <is>
          <t>Vendido</t>
        </is>
      </c>
      <c r="D97" s="4" t="inlineStr">
        <is>
          <t>3</t>
        </is>
      </c>
      <c r="E97" s="5" t="inlineStr">
        <is>
          <t>2.000,00</t>
        </is>
      </c>
      <c r="F97" s="4" t="inlineStr">
        <is>
          <t>250.00</t>
        </is>
      </c>
    </row>
    <row collapsed="false" customFormat="false" customHeight="false" hidden="false" ht="12.1" outlineLevel="0" r="98">
      <c r="A98" s="5" t="s">
        <f>=HYPERLINK("https://www.leilaoonline.com.br/lote/detalhe/121261", "17388")</f>
      </c>
      <c r="B98" s="4" t="s">
        <f>=HYPERLINK("https://www.leilaoonline.com.br/lote/detalhe/121261", " 62 RODETES GRANDES E PEQUENOS, 7 TALHAS, SF,  LOC. TARUMÃ")</f>
      </c>
      <c r="C98" s="4" t="inlineStr">
        <is>
          <t>Não vendido</t>
        </is>
      </c>
      <c r="D98" s="4" t="inlineStr">
        <is>
          <t>137</t>
        </is>
      </c>
      <c r="E98" s="5" t="inlineStr">
        <is>
          <t>176.250,00</t>
        </is>
      </c>
      <c r="F98" s="4" t="inlineStr">
        <is>
          <t>1000.00</t>
        </is>
      </c>
    </row>
    <row collapsed="false" customFormat="false" customHeight="false" hidden="false" ht="12.1" outlineLevel="0" r="99">
      <c r="A99" s="5" t="s">
        <f>=HYPERLINK("https://www.leilaoonline.com.br/lote/detalhe/121248", "17389")</f>
      </c>
      <c r="B99" s="4" t="s">
        <f>=HYPERLINK("https://www.leilaoonline.com.br/lote/detalhe/121248", " 18 TUBOS DE FIBRA SUCATA, SF, LOC. TARUMÃ")</f>
      </c>
      <c r="C99" s="4" t="inlineStr">
        <is>
          <t>Não vendido</t>
        </is>
      </c>
      <c r="D99" s="4" t="inlineStr">
        <is>
          <t>7</t>
        </is>
      </c>
      <c r="E99" s="5" t="inlineStr">
        <is>
          <t>950,00</t>
        </is>
      </c>
      <c r="F99" s="4" t="inlineStr">
        <is>
          <t>100.00</t>
        </is>
      </c>
    </row>
    <row collapsed="false" customFormat="false" customHeight="false" hidden="false" ht="12.1" outlineLevel="0" r="100">
      <c r="A100" s="5" t="s">
        <f>=HYPERLINK("https://www.leilaoonline.com.br/lote/detalhe/121246", "17390")</f>
      </c>
      <c r="B100" s="4" t="s">
        <f>=HYPERLINK("https://www.leilaoonline.com.br/lote/detalhe/121246", " 35 MANILHAS DE CONCRETO DIVERSAS,SF,  LOC. PARAGUAÇU")</f>
      </c>
      <c r="C100" s="4" t="inlineStr">
        <is>
          <t>Vendido</t>
        </is>
      </c>
      <c r="D100" s="4" t="inlineStr">
        <is>
          <t>4</t>
        </is>
      </c>
      <c r="E100" s="5" t="inlineStr">
        <is>
          <t>750,00</t>
        </is>
      </c>
      <c r="F100" s="4" t="inlineStr">
        <is>
          <t>100.00</t>
        </is>
      </c>
    </row>
    <row collapsed="false" customFormat="false" customHeight="false" hidden="false" ht="12.1" outlineLevel="0" r="101">
      <c r="A101" s="5" t="s">
        <f>=HYPERLINK("https://www.leilaoonline.com.br/lote/detalhe/121700", "17391")</f>
      </c>
      <c r="B101" s="4" t="s">
        <f>=HYPERLINK("https://www.leilaoonline.com.br/lote/detalhe/121700", "2 ESTEIRAS E 1 PRATELEIRA SUCATEADAS, SF, LOC. TARUMA")</f>
      </c>
      <c r="C101" s="4" t="inlineStr">
        <is>
          <t>Não vendido</t>
        </is>
      </c>
      <c r="D101" s="4" t="inlineStr">
        <is>
          <t>58</t>
        </is>
      </c>
      <c r="E101" s="5" t="inlineStr">
        <is>
          <t>6.100,00</t>
        </is>
      </c>
      <c r="F101" s="4" t="inlineStr">
        <is>
          <t>250.00</t>
        </is>
      </c>
    </row>
    <row collapsed="false" customFormat="false" customHeight="false" hidden="false" ht="12.1" outlineLevel="0" r="102">
      <c r="A102" s="5" t="s">
        <f>=HYPERLINK("https://www.leilaoonline.com.br/lote/detalhe/121701", "17392")</f>
      </c>
      <c r="B102" s="4" t="s">
        <f>=HYPERLINK("https://www.leilaoonline.com.br/lote/detalhe/121701", "TANQUE DE AGUA VERMELHO , CAP. DE 3 A 5 MIL LTS, PAT. 179620, LOC. TARUMA ")</f>
      </c>
      <c r="C102" s="4" t="inlineStr">
        <is>
          <t>Não vendido</t>
        </is>
      </c>
      <c r="D102" s="4" t="inlineStr">
        <is>
          <t>7</t>
        </is>
      </c>
      <c r="E102" s="5" t="inlineStr">
        <is>
          <t>4.750,00</t>
        </is>
      </c>
      <c r="F102" s="4" t="inlineStr">
        <is>
          <t>250.00</t>
        </is>
      </c>
    </row>
    <row collapsed="false" customFormat="false" customHeight="false" hidden="false" ht="12.1" outlineLevel="0" r="103">
      <c r="A103" s="5" t="s">
        <f>=HYPERLINK("https://www.leilaoonline.com.br/lote/detalhe/121702", "17393")</f>
      </c>
      <c r="B103" s="4" t="s">
        <f>=HYPERLINK("https://www.leilaoonline.com.br/lote/detalhe/121702", "IMPLEMENTO AGRICOLA , SF, LOC. TARUMA ")</f>
      </c>
      <c r="C103" s="4" t="inlineStr">
        <is>
          <t>Não vendido</t>
        </is>
      </c>
      <c r="D103" s="4" t="inlineStr">
        <is>
          <t>8</t>
        </is>
      </c>
      <c r="E103" s="5" t="inlineStr">
        <is>
          <t>2.750,00</t>
        </is>
      </c>
      <c r="F103" s="4" t="inlineStr">
        <is>
          <t>250.00</t>
        </is>
      </c>
    </row>
    <row collapsed="false" customFormat="false" customHeight="false" hidden="false" ht="12.1" outlineLevel="0" r="104">
      <c r="A104" s="5" t="s">
        <f>=HYPERLINK("https://www.leilaoonline.com.br/lote/detalhe/121703", "17394")</f>
      </c>
      <c r="B104" s="4" t="s">
        <f>=HYPERLINK("https://www.leilaoonline.com.br/lote/detalhe/121703", "CARRETA DE SERVIÇOS DIVERSOS, SF, LOC. TARUMA ")</f>
      </c>
      <c r="C104" s="4" t="inlineStr">
        <is>
          <t>Vendido</t>
        </is>
      </c>
      <c r="D104" s="4" t="inlineStr">
        <is>
          <t>13</t>
        </is>
      </c>
      <c r="E104" s="5" t="inlineStr">
        <is>
          <t>4.000,00</t>
        </is>
      </c>
      <c r="F104" s="4" t="inlineStr">
        <is>
          <t>250.00</t>
        </is>
      </c>
    </row>
    <row collapsed="false" customFormat="false" customHeight="false" hidden="false" ht="12.1" outlineLevel="0" r="105">
      <c r="A105" s="5" t="s">
        <f>=HYPERLINK("https://www.leilaoonline.com.br/lote/detalhe/121704", "17395")</f>
      </c>
      <c r="B105" s="4" t="s">
        <f>=HYPERLINK("https://www.leilaoonline.com.br/lote/detalhe/121704", "229 EXTENTORES DIVERSOS, SF, LOC. TARUMA ")</f>
      </c>
      <c r="C105" s="4" t="inlineStr">
        <is>
          <t>Vendido</t>
        </is>
      </c>
      <c r="D105" s="4" t="inlineStr">
        <is>
          <t>68</t>
        </is>
      </c>
      <c r="E105" s="5" t="inlineStr">
        <is>
          <t>10.900,00</t>
        </is>
      </c>
      <c r="F105" s="4" t="inlineStr">
        <is>
          <t>250.00</t>
        </is>
      </c>
    </row>
    <row collapsed="false" customFormat="false" customHeight="false" hidden="false" ht="12.1" outlineLevel="0" r="106">
      <c r="A106" s="5" t="s">
        <f>=HYPERLINK("https://www.leilaoonline.com.br/lote/detalhe/121888", "17396")</f>
      </c>
      <c r="B106" s="4" t="s">
        <f>=HYPERLINK("https://www.leilaoonline.com.br/lote/detalhe/121888", "SUCATA DE LÂMPADAS E COMPONENTES ELETRICOS E ELETRONICOS, SF, LOC. IPAUSSU ")</f>
      </c>
      <c r="C106" s="4" t="inlineStr">
        <is>
          <t>Não vendido</t>
        </is>
      </c>
      <c r="D106" s="4" t="inlineStr">
        <is>
          <t>2</t>
        </is>
      </c>
      <c r="E106" s="5" t="inlineStr">
        <is>
          <t>250,00</t>
        </is>
      </c>
      <c r="F106" s="4" t="inlineStr">
        <is>
          <t>100.00</t>
        </is>
      </c>
    </row>
    <row collapsed="false" customFormat="false" customHeight="false" hidden="false" ht="12.1" outlineLevel="0" r="107">
      <c r="A107" s="5" t="s">
        <f>=HYPERLINK("https://www.leilaoonline.com.br/lote/detalhe/121259", "17484")</f>
      </c>
      <c r="B107" s="4" t="s">
        <f>=HYPERLINK("https://www.leilaoonline.com.br/lote/detalhe/121259", " S.REBOQUE  RANDON 12,50 M, ANO 2014, (S/PNEUS E S/ RODAS)  FR46969, LOC. IPAUSSU ")</f>
      </c>
      <c r="C107" s="4" t="inlineStr">
        <is>
          <t>Vendido</t>
        </is>
      </c>
      <c r="D107" s="4" t="inlineStr">
        <is>
          <t>33</t>
        </is>
      </c>
      <c r="E107" s="5" t="inlineStr">
        <is>
          <t>55.000,00</t>
        </is>
      </c>
      <c r="F107" s="4" t="inlineStr">
        <is>
          <t>1000.00</t>
        </is>
      </c>
    </row>
    <row collapsed="false" customFormat="false" customHeight="false" hidden="false" ht="12.1" outlineLevel="0" r="108">
      <c r="A108" s="5" t="s">
        <f>=HYPERLINK("https://www.leilaoonline.com.br/lote/detalhe/120959", "20335")</f>
      </c>
      <c r="B108" s="4" t="s">
        <f>=HYPERLINK("https://www.leilaoonline.com.br/lote/detalhe/120959", " CARRETA ESP. CALCARIO SOLLUS, ANO 2006, FR57239, LOC.COSTA PINTO ")</f>
      </c>
      <c r="C108" s="4" t="inlineStr">
        <is>
          <t>Não vendido</t>
        </is>
      </c>
      <c r="D108" s="4" t="inlineStr">
        <is>
          <t>3</t>
        </is>
      </c>
      <c r="E108" s="5" t="inlineStr">
        <is>
          <t>3.000,00</t>
        </is>
      </c>
      <c r="F108" s="4" t="inlineStr">
        <is>
          <t>250.00</t>
        </is>
      </c>
    </row>
    <row collapsed="false" customFormat="false" customHeight="false" hidden="false" ht="12.1" outlineLevel="0" r="109">
      <c r="A109" s="5" t="s">
        <f>=HYPERLINK("https://www.leilaoonline.com.br/lote/detalhe/121008", "20461")</f>
      </c>
      <c r="B109" s="4" t="s">
        <f>=HYPERLINK("https://www.leilaoonline.com.br/lote/detalhe/121008", "ELETROENCEFALOGRAMA MERDITRON – PLAQUETA 185453, LOC. COSTA PINTO")</f>
      </c>
      <c r="C109" s="4" t="inlineStr">
        <is>
          <t>Não vendido</t>
        </is>
      </c>
      <c r="D109" s="4" t="inlineStr">
        <is>
          <t>0</t>
        </is>
      </c>
      <c r="E109" s="5" t="inlineStr">
        <is>
          <t>300,00</t>
        </is>
      </c>
      <c r="F109" s="4" t="inlineStr">
        <is>
          <t>150.00</t>
        </is>
      </c>
    </row>
    <row collapsed="false" customFormat="false" customHeight="false" hidden="false" ht="12.1" outlineLevel="0" r="110">
      <c r="A110" s="5" t="s">
        <f>=HYPERLINK("https://www.leilaoonline.com.br/lote/detalhe/121007", "20464")</f>
      </c>
      <c r="B110" s="4" t="s">
        <f>=HYPERLINK("https://www.leilaoonline.com.br/lote/detalhe/121007", "AUTOCLAVE STERMAX 21 litros 10 A - PLAQUETA 164470, LOC. COSTA PINTO ")</f>
      </c>
      <c r="C110" s="4" t="inlineStr">
        <is>
          <t>Vendido</t>
        </is>
      </c>
      <c r="D110" s="4" t="inlineStr">
        <is>
          <t>2</t>
        </is>
      </c>
      <c r="E110" s="5" t="inlineStr">
        <is>
          <t>450,00</t>
        </is>
      </c>
      <c r="F110" s="4" t="inlineStr">
        <is>
          <t>150.00</t>
        </is>
      </c>
    </row>
    <row collapsed="false" customFormat="false" customHeight="false" hidden="false" ht="12.1" outlineLevel="0" r="111">
      <c r="A111" s="5" t="s">
        <f>=HYPERLINK("https://www.leilaoonline.com.br/lote/detalhe/121006", "20466")</f>
      </c>
      <c r="B111" s="4" t="s">
        <f>=HYPERLINK("https://www.leilaoonline.com.br/lote/detalhe/121006", "INCUBADORA BIOLÓGICA BIOCONTROL 6t- bivolt- LOC. COSTA PINTO")</f>
      </c>
      <c r="C111" s="4" t="inlineStr">
        <is>
          <t>Não vendido</t>
        </is>
      </c>
      <c r="D111" s="4" t="inlineStr">
        <is>
          <t>0</t>
        </is>
      </c>
      <c r="E111" s="5" t="inlineStr">
        <is>
          <t>300,00</t>
        </is>
      </c>
      <c r="F111" s="4" t="inlineStr">
        <is>
          <t>150.00</t>
        </is>
      </c>
    </row>
    <row collapsed="false" customFormat="false" customHeight="false" hidden="false" ht="12.1" outlineLevel="0" r="112">
      <c r="A112" s="5" t="s">
        <f>=HYPERLINK("https://www.leilaoonline.com.br/lote/detalhe/121005", "20515")</f>
      </c>
      <c r="B112" s="4" t="s">
        <f>=HYPERLINK("https://www.leilaoonline.com.br/lote/detalhe/121005", " MOTOCICLETA HONDA/BRAZCAR CARGO 150, ANO 2010/2010,  TITAN CARRETINHA, FR139963, LOC.SANTA HELENA ")</f>
      </c>
      <c r="C112" s="4" t="inlineStr">
        <is>
          <t>Vendido</t>
        </is>
      </c>
      <c r="D112" s="4" t="inlineStr">
        <is>
          <t>39</t>
        </is>
      </c>
      <c r="E112" s="5" t="inlineStr">
        <is>
          <t>12.500,00</t>
        </is>
      </c>
      <c r="F112" s="4" t="inlineStr">
        <is>
          <t>250.00</t>
        </is>
      </c>
    </row>
    <row collapsed="false" customFormat="false" customHeight="false" hidden="false" ht="12.1" outlineLevel="0" r="113">
      <c r="A113" s="5" t="s">
        <f>=HYPERLINK("https://www.leilaoonline.com.br/lote/detalhe/122172", "20528")</f>
      </c>
      <c r="B113" s="4" t="s">
        <f>=HYPERLINK("https://www.leilaoonline.com.br/lote/detalhe/122172", "CENTRIFUGA DE FERMENTO E VINHO MAUSA SCM 80/ COM MOTOR , FR207099, LOC. COSTA PINTO ")</f>
      </c>
      <c r="C113" s="4" t="inlineStr">
        <is>
          <t>Não vendido</t>
        </is>
      </c>
      <c r="D113" s="4" t="inlineStr">
        <is>
          <t>76</t>
        </is>
      </c>
      <c r="E113" s="5" t="inlineStr">
        <is>
          <t>26.700,00</t>
        </is>
      </c>
      <c r="F113" s="4" t="inlineStr">
        <is>
          <t>500.00</t>
        </is>
      </c>
    </row>
    <row collapsed="false" customFormat="false" customHeight="false" hidden="false" ht="12.1" outlineLevel="0" r="114">
      <c r="A114" s="5" t="s">
        <f>=HYPERLINK("https://www.leilaoonline.com.br/lote/detalhe/122173", "20529")</f>
      </c>
      <c r="B114" s="4" t="s">
        <f>=HYPERLINK("https://www.leilaoonline.com.br/lote/detalhe/122173", "CENTRIFUGA DE FERMENTO E VINHO MAUSA SCM 80 SEM MOTOR E PEÇAS FALTANTES. FR207092, LOC COSTA PINTO ")</f>
      </c>
      <c r="C114" s="4" t="inlineStr">
        <is>
          <t>Vendido</t>
        </is>
      </c>
      <c r="D114" s="4" t="inlineStr">
        <is>
          <t>43</t>
        </is>
      </c>
      <c r="E114" s="5" t="inlineStr">
        <is>
          <t>12.950,00</t>
        </is>
      </c>
      <c r="F114" s="4" t="inlineStr">
        <is>
          <t>500.00</t>
        </is>
      </c>
    </row>
    <row collapsed="false" customFormat="false" customHeight="false" hidden="false" ht="12.1" outlineLevel="0" r="115">
      <c r="A115" s="5" t="s">
        <f>=HYPERLINK("https://www.leilaoonline.com.br/lote/detalhe/122180", "20531")</f>
      </c>
      <c r="B115" s="4" t="s">
        <f>=HYPERLINK("https://www.leilaoonline.com.br/lote/detalhe/122180", "SEMI-REBOQUE RANDON 12,50M CANA INTEIRA TOMBO DIREITO SEM PNEUS, ( S/ PNEUS E S/ RODAS ) ANO 2008/2008, FR139657, LOC. BOM RETIRO ")</f>
      </c>
      <c r="C115" s="4" t="inlineStr">
        <is>
          <t>Não vendido</t>
        </is>
      </c>
      <c r="D115" s="4" t="inlineStr">
        <is>
          <t>9</t>
        </is>
      </c>
      <c r="E115" s="5" t="inlineStr">
        <is>
          <t>38.000,00</t>
        </is>
      </c>
      <c r="F115" s="4" t="inlineStr">
        <is>
          <t>1000.00</t>
        </is>
      </c>
    </row>
    <row collapsed="false" customFormat="false" customHeight="false" hidden="false" ht="12.1" outlineLevel="0" r="116">
      <c r="A116" s="5" t="s">
        <f>=HYPERLINK("https://www.leilaoonline.com.br/lote/detalhe/122184", "20532")</f>
      </c>
      <c r="B116" s="4" t="s">
        <f>=HYPERLINK("https://www.leilaoonline.com.br/lote/detalhe/122184", "REBOQUE RANDON 4E 12,5M TOMBO DIREITO,  ( S/ PNEUS E S/ RODAS ) ANO 2012/2013, FR66197, LOC. BOM RETIRO ")</f>
      </c>
      <c r="C116" s="4" t="inlineStr">
        <is>
          <t>Não vendido</t>
        </is>
      </c>
      <c r="D116" s="4" t="inlineStr">
        <is>
          <t>12</t>
        </is>
      </c>
      <c r="E116" s="5" t="inlineStr">
        <is>
          <t>41.000,00</t>
        </is>
      </c>
      <c r="F116" s="4" t="inlineStr">
        <is>
          <t>1000.00</t>
        </is>
      </c>
    </row>
    <row collapsed="false" customFormat="false" customHeight="false" hidden="false" ht="12.1" outlineLevel="0" r="117">
      <c r="A117" s="5" t="s">
        <f>=HYPERLINK("https://www.leilaoonline.com.br/lote/detalhe/122179", "20533")</f>
      </c>
      <c r="B117" s="4" t="s">
        <f>=HYPERLINK("https://www.leilaoonline.com.br/lote/detalhe/122179", "SEMI-REBOQUE RANDON 12,50M, CANA INTEIRA TOMBO DIREITO SEM PNEUS E EIXOS,  ( S/ PNEUS E S/ RODAS ) ANO 2010/2011, FR36292, LOC. BOM RETIRO ")</f>
      </c>
      <c r="C117" s="4" t="inlineStr">
        <is>
          <t>Não vendido</t>
        </is>
      </c>
      <c r="D117" s="4" t="inlineStr">
        <is>
          <t>2</t>
        </is>
      </c>
      <c r="E117" s="5" t="inlineStr">
        <is>
          <t>31.000,00</t>
        </is>
      </c>
      <c r="F117" s="4" t="inlineStr">
        <is>
          <t>1000.00</t>
        </is>
      </c>
    </row>
    <row collapsed="false" customFormat="false" customHeight="false" hidden="false" ht="12.1" outlineLevel="0" r="118">
      <c r="A118" s="5" t="s">
        <f>=HYPERLINK("https://www.leilaoonline.com.br/lote/detalhe/122182", "20534")</f>
      </c>
      <c r="B118" s="4" t="s">
        <f>=HYPERLINK("https://www.leilaoonline.com.br/lote/detalhe/122182", "REBOQUE RANDON 4E 12,5M TOMBO DIREITO, ( S/ PNEUS E S/ RODAS )ANO 2012/2012, FR36294, LOC. BOM RETIRO ")</f>
      </c>
      <c r="C118" s="4" t="inlineStr">
        <is>
          <t>Não vendido</t>
        </is>
      </c>
      <c r="D118" s="4" t="inlineStr">
        <is>
          <t>1</t>
        </is>
      </c>
      <c r="E118" s="5" t="inlineStr">
        <is>
          <t>30.000,00</t>
        </is>
      </c>
      <c r="F118" s="4" t="inlineStr">
        <is>
          <t>1000.00</t>
        </is>
      </c>
    </row>
    <row collapsed="false" customFormat="false" customHeight="false" hidden="false" ht="12.1" outlineLevel="0" r="119">
      <c r="A119" s="5" t="s">
        <f>=HYPERLINK("https://www.leilaoonline.com.br/lote/detalhe/122183", "20535")</f>
      </c>
      <c r="B119" s="4" t="s">
        <f>=HYPERLINK("https://www.leilaoonline.com.br/lote/detalhe/122183", "REBOQUE RANDON 4E 12,5M TOMBO DIREITO,  ( S/ PNEUS E S/ RODAS ) ANO 2014/2014, FR56394, LOC. BOM RETIRO ")</f>
      </c>
      <c r="C119" s="4" t="inlineStr">
        <is>
          <t>Não vendido</t>
        </is>
      </c>
      <c r="D119" s="4" t="inlineStr">
        <is>
          <t>16</t>
        </is>
      </c>
      <c r="E119" s="5" t="inlineStr">
        <is>
          <t>45.000,00</t>
        </is>
      </c>
      <c r="F119" s="4" t="inlineStr">
        <is>
          <t>1000.00</t>
        </is>
      </c>
    </row>
    <row collapsed="false" customFormat="false" customHeight="false" hidden="false" ht="12.1" outlineLevel="0" r="120">
      <c r="A120" s="5" t="s">
        <f>=HYPERLINK("https://www.leilaoonline.com.br/lote/detalhe/122181", "20536")</f>
      </c>
      <c r="B120" s="4" t="s">
        <f>=HYPERLINK("https://www.leilaoonline.com.br/lote/detalhe/122181", "REBOQUE RANDON 4E 12,5M TOMBO DIREITO, ( S/ PNEUS E S/ RODAS ) ANO 2012/2012, FR22590, LOC. BOM RETIRO ")</f>
      </c>
      <c r="C120" s="4" t="inlineStr">
        <is>
          <t>Não vendido</t>
        </is>
      </c>
      <c r="D120" s="4" t="inlineStr">
        <is>
          <t>15</t>
        </is>
      </c>
      <c r="E120" s="5" t="inlineStr">
        <is>
          <t>44.000,00</t>
        </is>
      </c>
      <c r="F120" s="4" t="inlineStr">
        <is>
          <t>1000.00</t>
        </is>
      </c>
    </row>
    <row collapsed="false" customFormat="false" customHeight="false" hidden="false" ht="12.1" outlineLevel="0" r="121">
      <c r="A121" s="5" t="s">
        <f>=HYPERLINK("https://www.leilaoonline.com.br/lote/detalhe/122178", "20538")</f>
      </c>
      <c r="B121" s="4" t="s">
        <f>=HYPERLINK("https://www.leilaoonline.com.br/lote/detalhe/122178", "SEMI-REBOQUE RANDON 12,50M CANA INTEIRA TOMBO DIREITO, ( S/ PNEUS E S/ RODAS )ANO 2013/2014, FR56371, LOC. BOM RETIRO ")</f>
      </c>
      <c r="C121" s="4" t="inlineStr">
        <is>
          <t>Não vendido</t>
        </is>
      </c>
      <c r="D121" s="4" t="inlineStr">
        <is>
          <t>28</t>
        </is>
      </c>
      <c r="E121" s="5" t="inlineStr">
        <is>
          <t>58.000,00</t>
        </is>
      </c>
      <c r="F121" s="4" t="inlineStr">
        <is>
          <t>1000.00</t>
        </is>
      </c>
    </row>
    <row collapsed="false" customFormat="false" customHeight="false" hidden="false" ht="12.1" outlineLevel="0" r="122">
      <c r="A122" s="5" t="s">
        <f>=HYPERLINK("https://www.leilaoonline.com.br/lote/detalhe/122176", "20541")</f>
      </c>
      <c r="B122" s="4" t="s">
        <f>=HYPERLINK("https://www.leilaoonline.com.br/lote/detalhe/122176", "MOTOCICLETA HONDA CG 150 TITAN CARRETINHA,  ANO 2010, FR33852, LOC. SÃO FRANCISCO ")</f>
      </c>
      <c r="C122" s="4" t="inlineStr">
        <is>
          <t>Vendido</t>
        </is>
      </c>
      <c r="D122" s="4" t="inlineStr">
        <is>
          <t>28</t>
        </is>
      </c>
      <c r="E122" s="5" t="inlineStr">
        <is>
          <t>12.250,00</t>
        </is>
      </c>
      <c r="F122" s="4" t="inlineStr">
        <is>
          <t>250.00</t>
        </is>
      </c>
    </row>
    <row collapsed="false" customFormat="false" customHeight="false" hidden="false" ht="12.1" outlineLevel="0" r="123">
      <c r="A123" s="5" t="s">
        <f>=HYPERLINK("https://www.leilaoonline.com.br/lote/detalhe/122185", "20542")</f>
      </c>
      <c r="B123" s="4" t="s">
        <f>=HYPERLINK("https://www.leilaoonline.com.br/lote/detalhe/122185", "LOTE DE MOBILIARIO ALOJAMENTO LIMOEIRO (64 beliches 54 colchões 15 Armários de duas portas 27 ventiladores 5 frízeres horizontal  17 mesas de refeitório 17 bancos de igreja  12 lixeira plástico 1 liquidificador industrial ) SF , LOC. COSTA PINTO ")</f>
      </c>
      <c r="C123" s="4" t="inlineStr">
        <is>
          <t>Vendido</t>
        </is>
      </c>
      <c r="D123" s="4" t="inlineStr">
        <is>
          <t>75</t>
        </is>
      </c>
      <c r="E123" s="5" t="inlineStr">
        <is>
          <t>22.000,00</t>
        </is>
      </c>
      <c r="F123" s="4" t="inlineStr">
        <is>
          <t>500.00</t>
        </is>
      </c>
    </row>
    <row collapsed="false" customFormat="false" customHeight="false" hidden="false" ht="12.1" outlineLevel="0" r="124">
      <c r="A124" s="5" t="s">
        <f>=HYPERLINK("https://www.leilaoonline.com.br/lote/detalhe/122186", "20543")</f>
      </c>
      <c r="B124" s="4" t="s">
        <f>=HYPERLINK("https://www.leilaoonline.com.br/lote/detalhe/122186", "TROCADOR CALOR PL ALFA-LAVAL M20-MFM FM, 330L, O.P. DES. 7957, PAT.58035, LOC. SANTA HELENA ")</f>
      </c>
      <c r="C124" s="4" t="inlineStr">
        <is>
          <t>Não vendido</t>
        </is>
      </c>
      <c r="D124" s="4" t="inlineStr">
        <is>
          <t>64</t>
        </is>
      </c>
      <c r="E124" s="5" t="inlineStr">
        <is>
          <t>16.750,00</t>
        </is>
      </c>
      <c r="F124" s="4" t="inlineStr">
        <is>
          <t>500.00</t>
        </is>
      </c>
    </row>
    <row collapsed="false" customFormat="false" customHeight="false" hidden="false" ht="12.1" outlineLevel="0" r="125">
      <c r="A125" s="5" t="s">
        <f>=HYPERLINK("https://www.leilaoonline.com.br/lote/detalhe/122177", "20544")</f>
      </c>
      <c r="B125" s="4" t="s">
        <f>=HYPERLINK("https://www.leilaoonline.com.br/lote/detalhe/122177", " 23 MOTORES DIVERSOS TAMANHOS, SF, LOC. COSTA PINTO")</f>
      </c>
      <c r="C125" s="4" t="inlineStr">
        <is>
          <t>Vendido</t>
        </is>
      </c>
      <c r="D125" s="4" t="inlineStr">
        <is>
          <t>44</t>
        </is>
      </c>
      <c r="E125" s="5" t="inlineStr">
        <is>
          <t>18.500,00</t>
        </is>
      </c>
      <c r="F125" s="4" t="inlineStr">
        <is>
          <t>500.00</t>
        </is>
      </c>
    </row>
    <row collapsed="false" customFormat="false" customHeight="false" hidden="false" ht="12.1" outlineLevel="0" r="126">
      <c r="A126" s="5" t="s">
        <f>=HYPERLINK("https://www.leilaoonline.com.br/lote/detalhe/122175", "20545")</f>
      </c>
      <c r="B126" s="4" t="s">
        <f>=HYPERLINK("https://www.leilaoonline.com.br/lote/detalhe/122175", "PA-CARREGADEIRA CATERPILLAR CAT 950- ANO 2012 ( Obs. S/ AS CONCHAS ) FR58511,( Obs. problema transmissão) LOC.SOTREQ/ SUMARÉ ")</f>
      </c>
      <c r="C126" s="4" t="inlineStr">
        <is>
          <t>Não vendido</t>
        </is>
      </c>
      <c r="D126" s="4" t="inlineStr">
        <is>
          <t>69</t>
        </is>
      </c>
      <c r="E126" s="5" t="inlineStr">
        <is>
          <t>113.000,00</t>
        </is>
      </c>
      <c r="F126" s="4" t="inlineStr">
        <is>
          <t>1000.00</t>
        </is>
      </c>
    </row>
    <row collapsed="false" customFormat="false" customHeight="false" hidden="false" ht="12.1" outlineLevel="0" r="127">
      <c r="A127" s="5" t="s">
        <f>=HYPERLINK("https://www.leilaoonline.com.br/lote/detalhe/120972", "20575")</f>
      </c>
      <c r="B127" s="4" t="s">
        <f>=HYPERLINK("https://www.leilaoonline.com.br/lote/detalhe/120972", " SEMI-REBOQUE FACCHINI VINHACA 10M, ANO 1995, FR121297, LOC. COSTA PINTO")</f>
      </c>
      <c r="C127" s="4" t="inlineStr">
        <is>
          <t>Não vendido</t>
        </is>
      </c>
      <c r="D127" s="4" t="inlineStr">
        <is>
          <t>27</t>
        </is>
      </c>
      <c r="E127" s="5" t="inlineStr">
        <is>
          <t>36.000,00</t>
        </is>
      </c>
      <c r="F127" s="4" t="inlineStr">
        <is>
          <t>1000.00</t>
        </is>
      </c>
    </row>
    <row collapsed="false" customFormat="false" customHeight="false" hidden="false" ht="12.1" outlineLevel="0" r="128">
      <c r="A128" s="5" t="s">
        <f>=HYPERLINK("https://www.leilaoonline.com.br/lote/detalhe/120945", "20576")</f>
      </c>
      <c r="B128" s="4" t="s">
        <f>=HYPERLINK("https://www.leilaoonline.com.br/lote/detalhe/120945", " SEMI-REBOQUE FACCHINI VINHACA 10M( REMARCAÇÃO DE CHASSI), ANO 1995, FR121289, LOC. COSTA PINTO ")</f>
      </c>
      <c r="C128" s="4" t="inlineStr">
        <is>
          <t>Não vendido</t>
        </is>
      </c>
      <c r="D128" s="4" t="inlineStr">
        <is>
          <t>28</t>
        </is>
      </c>
      <c r="E128" s="5" t="inlineStr">
        <is>
          <t>37.000,00</t>
        </is>
      </c>
      <c r="F128" s="4" t="inlineStr">
        <is>
          <t>1000.00</t>
        </is>
      </c>
    </row>
    <row collapsed="false" customFormat="false" customHeight="false" hidden="false" ht="12.1" outlineLevel="0" r="129">
      <c r="A129" s="5" t="s">
        <f>=HYPERLINK("https://www.leilaoonline.com.br/lote/detalhe/120971", "20577")</f>
      </c>
      <c r="B129" s="4" t="s">
        <f>=HYPERLINK("https://www.leilaoonline.com.br/lote/detalhe/120971", " SEMI-REBOQUE CARRETA CINZA ( REMARCAÇÃO DE CHASSI), ANO 1995, FR121287, LOC. COSTA PINTO")</f>
      </c>
      <c r="C129" s="4" t="inlineStr">
        <is>
          <t>Não vendido</t>
        </is>
      </c>
      <c r="D129" s="4" t="inlineStr">
        <is>
          <t>17</t>
        </is>
      </c>
      <c r="E129" s="5" t="inlineStr">
        <is>
          <t>13.000,00</t>
        </is>
      </c>
      <c r="F129" s="4" t="inlineStr">
        <is>
          <t>500.00</t>
        </is>
      </c>
    </row>
    <row collapsed="false" customFormat="false" customHeight="false" hidden="false" ht="12.1" outlineLevel="0" r="130">
      <c r="A130" s="5" t="s">
        <f>=HYPERLINK("https://www.leilaoonline.com.br/lote/detalhe/120952", "20578")</f>
      </c>
      <c r="B130" s="4" t="s">
        <f>=HYPERLINK("https://www.leilaoonline.com.br/lote/detalhe/120952", " CAMINHÃO VW. MODELO 26.280 CRM 6X4- BAZUKA, ANO 2013/2014, FR52501, LOC.COSTA PINTO")</f>
      </c>
      <c r="C130" s="4" t="inlineStr">
        <is>
          <t>Vendido</t>
        </is>
      </c>
      <c r="D130" s="4" t="inlineStr">
        <is>
          <t>105</t>
        </is>
      </c>
      <c r="E130" s="5" t="inlineStr">
        <is>
          <t>148.000,00</t>
        </is>
      </c>
      <c r="F130" s="4" t="inlineStr">
        <is>
          <t>1000.00</t>
        </is>
      </c>
    </row>
    <row collapsed="false" customFormat="false" customHeight="false" hidden="false" ht="12.1" outlineLevel="0" r="131">
      <c r="A131" s="5" t="s">
        <f>=HYPERLINK("https://www.leilaoonline.com.br/lote/detalhe/120954", "20579")</f>
      </c>
      <c r="B131" s="4" t="s">
        <f>=HYPERLINK("https://www.leilaoonline.com.br/lote/detalhe/120954", " CARRETA SERVICOS DIVERSOS COR AMARELO, ANO 1984, FR57222, LOC.COSTA PINTO ")</f>
      </c>
      <c r="C131" s="4" t="inlineStr">
        <is>
          <t>Não vendido</t>
        </is>
      </c>
      <c r="D131" s="4" t="inlineStr">
        <is>
          <t>1</t>
        </is>
      </c>
      <c r="E131" s="5" t="inlineStr">
        <is>
          <t>2.000,00</t>
        </is>
      </c>
      <c r="F131" s="4" t="inlineStr">
        <is>
          <t>250.00</t>
        </is>
      </c>
    </row>
    <row collapsed="false" customFormat="false" customHeight="false" hidden="false" ht="12.1" outlineLevel="0" r="132">
      <c r="A132" s="5" t="s">
        <f>=HYPERLINK("https://www.leilaoonline.com.br/lote/detalhe/120969", "20580")</f>
      </c>
      <c r="B132" s="4" t="s">
        <f>=HYPERLINK("https://www.leilaoonline.com.br/lote/detalhe/120969", " CARRETA SOLLUS DISTRIBUIDOR DE TORTA FILTRO, ANO 2011, FR57309, LOC. COSTA PINTO ")</f>
      </c>
      <c r="C132" s="4" t="inlineStr">
        <is>
          <t>Não vendido</t>
        </is>
      </c>
      <c r="D132" s="4" t="inlineStr">
        <is>
          <t>1</t>
        </is>
      </c>
      <c r="E132" s="5" t="inlineStr">
        <is>
          <t>3.000,00</t>
        </is>
      </c>
      <c r="F132" s="4" t="inlineStr">
        <is>
          <t>250.00</t>
        </is>
      </c>
    </row>
    <row collapsed="false" customFormat="false" customHeight="false" hidden="false" ht="12.1" outlineLevel="0" r="133">
      <c r="A133" s="5" t="s">
        <f>=HYPERLINK("https://www.leilaoonline.com.br/lote/detalhe/120973", "20581")</f>
      </c>
      <c r="B133" s="4" t="s">
        <f>=HYPERLINK("https://www.leilaoonline.com.br/lote/detalhe/120973", " ENXADA HOWARD ENGUNERING LIMITED ROTATIVA, ANO 2013, FR57323, LOC. COSTA PINTO ")</f>
      </c>
      <c r="C133" s="4" t="inlineStr">
        <is>
          <t>Não vendido</t>
        </is>
      </c>
      <c r="D133" s="4" t="inlineStr">
        <is>
          <t>0</t>
        </is>
      </c>
      <c r="E133" s="5" t="inlineStr">
        <is>
          <t>3.000,00</t>
        </is>
      </c>
      <c r="F133" s="4" t="inlineStr">
        <is>
          <t>250.00</t>
        </is>
      </c>
    </row>
    <row collapsed="false" customFormat="false" customHeight="false" hidden="false" ht="12.1" outlineLevel="0" r="134">
      <c r="A134" s="5" t="s">
        <f>=HYPERLINK("https://www.leilaoonline.com.br/lote/detalhe/120948", "20582")</f>
      </c>
      <c r="B134" s="4" t="s">
        <f>=HYPERLINK("https://www.leilaoonline.com.br/lote/detalhe/120948", " ELIMINADOR SOQUEIRA DMB, ANO 2006, FR25272, LOC.COSTA PINTO")</f>
      </c>
      <c r="C134" s="4" t="inlineStr">
        <is>
          <t>Não vendido</t>
        </is>
      </c>
      <c r="D134" s="4" t="inlineStr">
        <is>
          <t>3</t>
        </is>
      </c>
      <c r="E134" s="5" t="inlineStr">
        <is>
          <t>4.000,00</t>
        </is>
      </c>
      <c r="F134" s="4" t="inlineStr">
        <is>
          <t>250.00</t>
        </is>
      </c>
    </row>
    <row collapsed="false" customFormat="false" customHeight="false" hidden="false" ht="12.1" outlineLevel="0" r="135">
      <c r="A135" s="5" t="s">
        <f>=HYPERLINK("https://www.leilaoonline.com.br/lote/detalhe/120963", "20583")</f>
      </c>
      <c r="B135" s="4" t="s">
        <f>=HYPERLINK("https://www.leilaoonline.com.br/lote/detalhe/120963", " ELIMINADOR SOQUEIRA DMB, ANO 2010, FR57289, LOC. COSTA PINTO")</f>
      </c>
      <c r="C135" s="4" t="inlineStr">
        <is>
          <t>Não vendido</t>
        </is>
      </c>
      <c r="D135" s="4" t="inlineStr">
        <is>
          <t>2</t>
        </is>
      </c>
      <c r="E135" s="5" t="inlineStr">
        <is>
          <t>3.750,00</t>
        </is>
      </c>
      <c r="F135" s="4" t="inlineStr">
        <is>
          <t>250.00</t>
        </is>
      </c>
    </row>
    <row collapsed="false" customFormat="false" customHeight="false" hidden="false" ht="12.1" outlineLevel="0" r="136">
      <c r="A136" s="5" t="s">
        <f>=HYPERLINK("https://www.leilaoonline.com.br/lote/detalhe/120975", "20584")</f>
      </c>
      <c r="B136" s="4" t="s">
        <f>=HYPERLINK("https://www.leilaoonline.com.br/lote/detalhe/120975", " ELIMINADOR SOQUEIRA DMB, ANO 2014,FR103877, LOC. COSTA PINTO ")</f>
      </c>
      <c r="C136" s="4" t="inlineStr">
        <is>
          <t>Vendido</t>
        </is>
      </c>
      <c r="D136" s="4" t="inlineStr">
        <is>
          <t>12</t>
        </is>
      </c>
      <c r="E136" s="5" t="inlineStr">
        <is>
          <t>11.490,00</t>
        </is>
      </c>
      <c r="F136" s="4" t="inlineStr">
        <is>
          <t>250.00</t>
        </is>
      </c>
    </row>
    <row collapsed="false" customFormat="false" customHeight="false" hidden="false" ht="12.1" outlineLevel="0" r="137">
      <c r="A137" s="5" t="s">
        <f>=HYPERLINK("https://www.leilaoonline.com.br/lote/detalhe/120961", "20585")</f>
      </c>
      <c r="B137" s="4" t="s">
        <f>=HYPERLINK("https://www.leilaoonline.com.br/lote/detalhe/120961", " CARRETA ABRIGO OPERADORES, ANO 2012, FR92806, LOC. COSTA PINTO ")</f>
      </c>
      <c r="C137" s="4" t="inlineStr">
        <is>
          <t>Vendido</t>
        </is>
      </c>
      <c r="D137" s="4" t="inlineStr">
        <is>
          <t>60</t>
        </is>
      </c>
      <c r="E137" s="5" t="inlineStr">
        <is>
          <t>20.500,00</t>
        </is>
      </c>
      <c r="F137" s="4" t="inlineStr">
        <is>
          <t>500.00</t>
        </is>
      </c>
    </row>
    <row collapsed="false" customFormat="false" customHeight="false" hidden="false" ht="12.1" outlineLevel="0" r="138">
      <c r="A138" s="5" t="s">
        <f>=HYPERLINK("https://www.leilaoonline.com.br/lote/detalhe/120968", "20586")</f>
      </c>
      <c r="B138" s="4" t="s">
        <f>=HYPERLINK("https://www.leilaoonline.com.br/lote/detalhe/120968", " CARREGADEIRA 1.1 CANA CMP MASTER 1200KG 100º- TRATOR VALTRA BM100 FROTA 139338, ANO 2013, FRFR140261, LOC.COSTA PINTO ")</f>
      </c>
      <c r="C138" s="4" t="inlineStr">
        <is>
          <t>Não vendido</t>
        </is>
      </c>
      <c r="D138" s="4" t="inlineStr">
        <is>
          <t>100</t>
        </is>
      </c>
      <c r="E138" s="5" t="inlineStr">
        <is>
          <t>172.000,00</t>
        </is>
      </c>
      <c r="F138" s="4" t="inlineStr">
        <is>
          <t>1000.00</t>
        </is>
      </c>
    </row>
    <row collapsed="false" customFormat="false" customHeight="false" hidden="false" ht="12.1" outlineLevel="0" r="139">
      <c r="A139" s="5" t="s">
        <f>=HYPERLINK("https://www.leilaoonline.com.br/lote/detalhe/120950", "20599")</f>
      </c>
      <c r="B139" s="4" t="s">
        <f>=HYPERLINK("https://www.leilaoonline.com.br/lote/detalhe/120950", " BOMBA CENTRIFUGA KSB ETA 150/50 e MOT ELETR BUFALO 200CV 4POLOS (plq 57854 e 57855), FR57854, LOC.COSTA PINTO ")</f>
      </c>
      <c r="C139" s="4" t="inlineStr">
        <is>
          <t>Vendido</t>
        </is>
      </c>
      <c r="D139" s="4" t="inlineStr">
        <is>
          <t>8</t>
        </is>
      </c>
      <c r="E139" s="5" t="inlineStr">
        <is>
          <t>3.250,00</t>
        </is>
      </c>
      <c r="F139" s="4" t="inlineStr">
        <is>
          <t>250.00</t>
        </is>
      </c>
    </row>
    <row collapsed="false" customFormat="false" customHeight="false" hidden="false" ht="12.1" outlineLevel="0" r="140">
      <c r="A140" s="5" t="s">
        <f>=HYPERLINK("https://www.leilaoonline.com.br/lote/detalhe/120944", "20600")</f>
      </c>
      <c r="B140" s="4" t="s">
        <f>=HYPERLINK("https://www.leilaoonline.com.br/lote/detalhe/120944", " BOMBA DE MULTIPLOS estágios com motor(Plq 57856-57857), FR57856, LOC. COSTA PINTO ")</f>
      </c>
      <c r="C140" s="4" t="inlineStr">
        <is>
          <t>Vendido</t>
        </is>
      </c>
      <c r="D140" s="4" t="inlineStr">
        <is>
          <t>3</t>
        </is>
      </c>
      <c r="E140" s="5" t="inlineStr">
        <is>
          <t>2.000,00</t>
        </is>
      </c>
      <c r="F140" s="4" t="inlineStr">
        <is>
          <t>250.00</t>
        </is>
      </c>
    </row>
    <row collapsed="false" customFormat="false" customHeight="false" hidden="false" ht="12.1" outlineLevel="0" r="141">
      <c r="A141" s="5" t="s">
        <f>=HYPERLINK("https://www.leilaoonline.com.br/lote/detalhe/120976", "20601")</f>
      </c>
      <c r="B141" s="4" t="s">
        <f>=HYPERLINK("https://www.leilaoonline.com.br/lote/detalhe/120976", " MOTOR DIESEL MB 6 CILINDROS e BOMBA CENTRIFUGA KSB, MOD. ETA 150/50 (Plq 57849 e 57850), FR57850, LOC.COSTA PINTO ")</f>
      </c>
      <c r="C141" s="4" t="inlineStr">
        <is>
          <t>Vendido</t>
        </is>
      </c>
      <c r="D141" s="4" t="inlineStr">
        <is>
          <t>32</t>
        </is>
      </c>
      <c r="E141" s="5" t="inlineStr">
        <is>
          <t>12.000,00</t>
        </is>
      </c>
      <c r="F141" s="4" t="inlineStr">
        <is>
          <t>500.00</t>
        </is>
      </c>
    </row>
    <row collapsed="false" customFormat="false" customHeight="false" hidden="false" ht="12.1" outlineLevel="0" r="142">
      <c r="A142" s="5" t="s">
        <f>=HYPERLINK("https://www.leilaoonline.com.br/lote/detalhe/120953", "20602")</f>
      </c>
      <c r="B142" s="4" t="s">
        <f>=HYPERLINK("https://www.leilaoonline.com.br/lote/detalhe/120953", " CARRETA DISTISBUIDORA DE TORTA SPANDER, ANO 2011, FR139939, LOC.BOM RETIRO ")</f>
      </c>
      <c r="C142" s="4" t="inlineStr">
        <is>
          <t>Não vendido</t>
        </is>
      </c>
      <c r="D142" s="4" t="inlineStr">
        <is>
          <t>32</t>
        </is>
      </c>
      <c r="E142" s="5" t="inlineStr">
        <is>
          <t>11.250,00</t>
        </is>
      </c>
      <c r="F142" s="4" t="inlineStr">
        <is>
          <t>250.00</t>
        </is>
      </c>
    </row>
    <row collapsed="false" customFormat="false" customHeight="false" hidden="false" ht="12.1" outlineLevel="0" r="143">
      <c r="A143" s="5" t="s">
        <f>=HYPERLINK("https://www.leilaoonline.com.br/lote/detalhe/120949", "20603")</f>
      </c>
      <c r="B143" s="4" t="s">
        <f>=HYPERLINK("https://www.leilaoonline.com.br/lote/detalhe/120949", " REBOQUE CAMAQ 7,50 M Transbordo ( REMARCAÇÃO DE CHASSI), ANO 1991, FR121094, LOC. BOM RETIRO  ")</f>
      </c>
      <c r="C143" s="4" t="inlineStr">
        <is>
          <t>Vendido</t>
        </is>
      </c>
      <c r="D143" s="4" t="inlineStr">
        <is>
          <t>4</t>
        </is>
      </c>
      <c r="E143" s="5" t="inlineStr">
        <is>
          <t>11.500,00</t>
        </is>
      </c>
      <c r="F143" s="4" t="inlineStr">
        <is>
          <t>500.00</t>
        </is>
      </c>
    </row>
    <row collapsed="false" customFormat="false" customHeight="false" hidden="false" ht="12.1" outlineLevel="0" r="144">
      <c r="A144" s="5" t="s">
        <f>=HYPERLINK("https://www.leilaoonline.com.br/lote/detalhe/120974", "20604")</f>
      </c>
      <c r="B144" s="4" t="s">
        <f>=HYPERLINK("https://www.leilaoonline.com.br/lote/detalhe/120974", "  CAMINHÃO VW. 26-220 EURO WORKER COM TANQUE(FR26028), ANO 2010, FR22125, LOC.BOM RETIRO")</f>
      </c>
      <c r="C144" s="4" t="inlineStr">
        <is>
          <t>Não vendido</t>
        </is>
      </c>
      <c r="D144" s="4" t="inlineStr">
        <is>
          <t>61</t>
        </is>
      </c>
      <c r="E144" s="5" t="inlineStr">
        <is>
          <t>104.000,00</t>
        </is>
      </c>
      <c r="F144" s="4" t="inlineStr">
        <is>
          <t>1000.00</t>
        </is>
      </c>
    </row>
    <row collapsed="false" customFormat="false" customHeight="false" hidden="false" ht="12.1" outlineLevel="0" r="145">
      <c r="A145" s="5" t="s">
        <f>=HYPERLINK("https://www.leilaoonline.com.br/lote/detalhe/120943", "20605")</f>
      </c>
      <c r="B145" s="4" t="s">
        <f>=HYPERLINK("https://www.leilaoonline.com.br/lote/detalhe/120943", " CAMINHONETE CHEVROLET VERANEIO AMBULANCIA, ANO 1993, FR118695, LOC. BOM RETIRO ")</f>
      </c>
      <c r="C145" s="4" t="inlineStr">
        <is>
          <t>Não vendido</t>
        </is>
      </c>
      <c r="D145" s="4" t="inlineStr">
        <is>
          <t>5</t>
        </is>
      </c>
      <c r="E145" s="5" t="inlineStr">
        <is>
          <t>12.500,00</t>
        </is>
      </c>
      <c r="F145" s="4" t="inlineStr">
        <is>
          <t>500.00</t>
        </is>
      </c>
    </row>
    <row collapsed="false" customFormat="false" customHeight="false" hidden="false" ht="12.1" outlineLevel="0" r="146">
      <c r="A146" s="5" t="s">
        <f>=HYPERLINK("https://www.leilaoonline.com.br/lote/detalhe/120965", "20606")</f>
      </c>
      <c r="B146" s="4" t="s">
        <f>=HYPERLINK("https://www.leilaoonline.com.br/lote/detalhe/120965", " CARRETA ESPARRAMADORA CALCAREO SOLLUS, ANO 2011, FR25307, LOC.BOM RETIRO ")</f>
      </c>
      <c r="C146" s="4" t="inlineStr">
        <is>
          <t>Não vendido</t>
        </is>
      </c>
      <c r="D146" s="4" t="inlineStr">
        <is>
          <t>55</t>
        </is>
      </c>
      <c r="E146" s="5" t="inlineStr">
        <is>
          <t>16.500,00</t>
        </is>
      </c>
      <c r="F146" s="4" t="inlineStr">
        <is>
          <t>250.00</t>
        </is>
      </c>
    </row>
    <row collapsed="false" customFormat="false" customHeight="false" hidden="false" ht="12.1" outlineLevel="0" r="147">
      <c r="A147" s="5" t="s">
        <f>=HYPERLINK("https://www.leilaoonline.com.br/lote/detalhe/120956", "20607")</f>
      </c>
      <c r="B147" s="4" t="s">
        <f>=HYPERLINK("https://www.leilaoonline.com.br/lote/detalhe/120956", " ADUBADORA JM3520SH JUMIL, ANO ANO 2011, FR57304, LOC.BOM RETIRO ")</f>
      </c>
      <c r="C147" s="4" t="inlineStr">
        <is>
          <t>Não vendido</t>
        </is>
      </c>
      <c r="D147" s="4" t="inlineStr">
        <is>
          <t>0</t>
        </is>
      </c>
      <c r="E147" s="5" t="inlineStr">
        <is>
          <t>1.500,00</t>
        </is>
      </c>
      <c r="F147" s="4" t="inlineStr">
        <is>
          <t>250.00</t>
        </is>
      </c>
    </row>
    <row collapsed="false" customFormat="false" customHeight="false" hidden="false" ht="12.1" outlineLevel="0" r="148">
      <c r="A148" s="5" t="s">
        <f>=HYPERLINK("https://www.leilaoonline.com.br/lote/detalhe/120946", "20608")</f>
      </c>
      <c r="B148" s="4" t="s">
        <f>=HYPERLINK("https://www.leilaoonline.com.br/lote/detalhe/120946", " CAMINHÃO VW. 26-220 EURO WORKER BAZUCA, ANO 2009, FR163131, LOC.BOM RETIRO ")</f>
      </c>
      <c r="C148" s="4" t="inlineStr">
        <is>
          <t>Vendido</t>
        </is>
      </c>
      <c r="D148" s="4" t="inlineStr">
        <is>
          <t>29</t>
        </is>
      </c>
      <c r="E148" s="5" t="inlineStr">
        <is>
          <t>71.000,00</t>
        </is>
      </c>
      <c r="F148" s="4" t="inlineStr">
        <is>
          <t>1000.00</t>
        </is>
      </c>
    </row>
    <row collapsed="false" customFormat="false" customHeight="false" hidden="false" ht="12.1" outlineLevel="0" r="149">
      <c r="A149" s="5" t="s">
        <f>=HYPERLINK("https://www.leilaoonline.com.br/lote/detalhe/120958", "20609")</f>
      </c>
      <c r="B149" s="4" t="s">
        <f>=HYPERLINK("https://www.leilaoonline.com.br/lote/detalhe/120958", " COLHEDORA JONH DEERE 3522 2L, ANO 2010,FR32225, LOC.BOM RETIRO  ")</f>
      </c>
      <c r="C149" s="4" t="inlineStr">
        <is>
          <t>Não vendido</t>
        </is>
      </c>
      <c r="D149" s="4" t="inlineStr">
        <is>
          <t>37</t>
        </is>
      </c>
      <c r="E149" s="5" t="inlineStr">
        <is>
          <t>56.000,00</t>
        </is>
      </c>
      <c r="F149" s="4" t="inlineStr">
        <is>
          <t>1000.00</t>
        </is>
      </c>
    </row>
    <row collapsed="false" customFormat="false" customHeight="false" hidden="false" ht="12.1" outlineLevel="0" r="150">
      <c r="A150" s="5" t="s">
        <f>=HYPERLINK("https://www.leilaoonline.com.br/lote/detalhe/120960", "20610")</f>
      </c>
      <c r="B150" s="4" t="s">
        <f>=HYPERLINK("https://www.leilaoonline.com.br/lote/detalhe/120960", " CAMINHÃO M. BENZ 2213, ANO 1980, FR119238, LOC. BOM RETIRO ")</f>
      </c>
      <c r="C150" s="4" t="inlineStr">
        <is>
          <t>Vendido</t>
        </is>
      </c>
      <c r="D150" s="4" t="inlineStr">
        <is>
          <t>9</t>
        </is>
      </c>
      <c r="E150" s="5" t="inlineStr">
        <is>
          <t>19.000,00</t>
        </is>
      </c>
      <c r="F150" s="4" t="inlineStr">
        <is>
          <t>500.00</t>
        </is>
      </c>
    </row>
    <row collapsed="false" customFormat="false" customHeight="false" hidden="false" ht="12.1" outlineLevel="0" r="151">
      <c r="A151" s="5" t="s">
        <f>=HYPERLINK("https://www.leilaoonline.com.br/lote/detalhe/120970", "20611")</f>
      </c>
      <c r="B151" s="4" t="s">
        <f>=HYPERLINK("https://www.leilaoonline.com.br/lote/detalhe/120970", " CAMINHÃO M. BENZ 1933 LS, ANO 1988, FR119656, LOC.BOM RETIRO")</f>
      </c>
      <c r="C151" s="4" t="inlineStr">
        <is>
          <t>Vendido</t>
        </is>
      </c>
      <c r="D151" s="4" t="inlineStr">
        <is>
          <t>3</t>
        </is>
      </c>
      <c r="E151" s="5" t="inlineStr">
        <is>
          <t>16.000,00</t>
        </is>
      </c>
      <c r="F151" s="4" t="inlineStr">
        <is>
          <t>500.00</t>
        </is>
      </c>
    </row>
    <row collapsed="false" customFormat="false" customHeight="false" hidden="false" ht="12.1" outlineLevel="0" r="152">
      <c r="A152" s="5" t="s">
        <f>=HYPERLINK("https://www.leilaoonline.com.br/lote/detalhe/120947", "20612")</f>
      </c>
      <c r="B152" s="4" t="s">
        <f>=HYPERLINK("https://www.leilaoonline.com.br/lote/detalhe/120947", " ADUBADEIRA JM3520SH JUMIL, ANO 2011, FR 25214, LOC. BOM RETIRO ")</f>
      </c>
      <c r="C152" s="4" t="inlineStr">
        <is>
          <t>Não vendido</t>
        </is>
      </c>
      <c r="D152" s="4" t="inlineStr">
        <is>
          <t>1</t>
        </is>
      </c>
      <c r="E152" s="5" t="inlineStr">
        <is>
          <t>1.500,00</t>
        </is>
      </c>
      <c r="F152" s="4" t="inlineStr">
        <is>
          <t>250.00</t>
        </is>
      </c>
    </row>
    <row collapsed="false" customFormat="false" customHeight="false" hidden="false" ht="12.1" outlineLevel="0" r="153">
      <c r="A153" s="5" t="s">
        <f>=HYPERLINK("https://www.leilaoonline.com.br/lote/detalhe/120966", "20613")</f>
      </c>
      <c r="B153" s="4" t="s">
        <f>=HYPERLINK("https://www.leilaoonline.com.br/lote/detalhe/120966", " TERRACEADOR FROTA 165242 ANO 2008, FR165242, LOC.BOM RETIRO ")</f>
      </c>
      <c r="C153" s="4" t="inlineStr">
        <is>
          <t>Não vendido</t>
        </is>
      </c>
      <c r="D153" s="4" t="inlineStr">
        <is>
          <t>14</t>
        </is>
      </c>
      <c r="E153" s="5" t="inlineStr">
        <is>
          <t>11.500,00</t>
        </is>
      </c>
      <c r="F153" s="4" t="inlineStr">
        <is>
          <t>500.00</t>
        </is>
      </c>
    </row>
    <row collapsed="false" customFormat="false" customHeight="false" hidden="false" ht="12.1" outlineLevel="0" r="154">
      <c r="A154" s="5" t="s">
        <f>=HYPERLINK("https://www.leilaoonline.com.br/lote/detalhe/120951", "20614")</f>
      </c>
      <c r="B154" s="4" t="s">
        <f>=HYPERLINK("https://www.leilaoonline.com.br/lote/detalhe/120951", " CAMINHÃO VW 15.180 EURO3 WORKER (BAU FR26006), ANO 2007, FR52508, LOC.SANTA HELENA")</f>
      </c>
      <c r="C154" s="4" t="inlineStr">
        <is>
          <t>Vendido</t>
        </is>
      </c>
      <c r="D154" s="4" t="inlineStr">
        <is>
          <t>24</t>
        </is>
      </c>
      <c r="E154" s="5" t="inlineStr">
        <is>
          <t>51.000,00</t>
        </is>
      </c>
      <c r="F154" s="4" t="inlineStr">
        <is>
          <t>1000.00</t>
        </is>
      </c>
    </row>
    <row collapsed="false" customFormat="false" customHeight="false" hidden="false" ht="12.1" outlineLevel="0" r="155">
      <c r="A155" s="5" t="s">
        <f>=HYPERLINK("https://www.leilaoonline.com.br/lote/detalhe/120957", "20615")</f>
      </c>
      <c r="B155" s="4" t="s">
        <f>=HYPERLINK("https://www.leilaoonline.com.br/lote/detalhe/120957", " LOTE DE 27-MOTORES 22 ATUADORES, 20 VALVULAS e 1 EXAUSTOR DE DIVERSOS TAMANHOS MODELOS E ESTADO, SF, LOC. SANTA HELENA ")</f>
      </c>
      <c r="C155" s="4" t="inlineStr">
        <is>
          <t>Vendido</t>
        </is>
      </c>
      <c r="D155" s="4" t="inlineStr">
        <is>
          <t>36</t>
        </is>
      </c>
      <c r="E155" s="5" t="inlineStr">
        <is>
          <t>23.500,00</t>
        </is>
      </c>
      <c r="F155" s="4" t="inlineStr">
        <is>
          <t>500.00</t>
        </is>
      </c>
    </row>
    <row collapsed="false" customFormat="false" customHeight="false" hidden="false" ht="12.1" outlineLevel="0" r="156">
      <c r="A156" s="5" t="s">
        <f>=HYPERLINK("https://www.leilaoonline.com.br/lote/detalhe/121237", "25015")</f>
      </c>
      <c r="B156" s="4" t="s">
        <f>=HYPERLINK("https://www.leilaoonline.com.br/lote/detalhe/121237", "09 ITENS DIVERSOS, PAINEIS , CONJUNTO DE BOMBAS E OUTROS- VEJA DESCRITIVO DE ITENS , LOC. DUQUE DE CAXIAS /RJ")</f>
      </c>
      <c r="C156" s="4" t="inlineStr">
        <is>
          <t>Vendido</t>
        </is>
      </c>
      <c r="D156" s="4" t="inlineStr">
        <is>
          <t>25</t>
        </is>
      </c>
      <c r="E156" s="5" t="inlineStr">
        <is>
          <t>8.500,00</t>
        </is>
      </c>
      <c r="F156" s="4" t="inlineStr">
        <is>
          <t>250.00</t>
        </is>
      </c>
    </row>
    <row collapsed="false" customFormat="false" customHeight="false" hidden="false" ht="12.1" outlineLevel="0" r="157">
      <c r="A157" s="5" t="s">
        <f>=HYPERLINK("https://www.leilaoonline.com.br/lote/detalhe/121558", "25016")</f>
      </c>
      <c r="B157" s="4" t="s">
        <f>=HYPERLINK("https://www.leilaoonline.com.br/lote/detalhe/121558", "18 ITENS DIVERSOS, VALVULAS , CONJUNTOS MB, VEJA DESCRITIVO DE ITENS - LOC. RIO DE JANEIRO")</f>
      </c>
      <c r="C157" s="4" t="inlineStr">
        <is>
          <t>Vendido</t>
        </is>
      </c>
      <c r="D157" s="4" t="inlineStr">
        <is>
          <t>52</t>
        </is>
      </c>
      <c r="E157" s="5" t="inlineStr">
        <is>
          <t>12.450,00</t>
        </is>
      </c>
      <c r="F157"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2026-06-19T16:56:54.00Z</dcterms:created>
  <dc:creator>Tellks Tecnologia</dc:creator>
  <cp:revision>0</cp:revision>
</cp:coreProperties>
</file>