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30 CAMINHÕES: 10 AXOR, VW, SCANIA E VOLVO - 12 TRATORES - REBOQUES - IMPLEMENTOS  - TRANSB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28/07/2023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=HYPERLINK("https://www.leilaoonline.com.br/lote/detalhe/186532", "106")</f>
      </c>
      <c r="B11" s="4" t="s">
        <f>=HYPERLINK("https://www.leilaoonline.com.br/lote/detalhe/186532", " ROSCA TRANSPORTADORA AÇUCAR A304 25T/H SERVICOS. - FR222757. - LOC. TARUMÃ ")</f>
      </c>
      <c r="C11" s="4" t="inlineStr">
        <is>
          <t>Não vendido</t>
        </is>
      </c>
      <c r="D11" s="4" t="inlineStr">
        <is>
          <t>14</t>
        </is>
      </c>
      <c r="E11" s="5" t="inlineStr">
        <is>
          <t>3.600,00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=HYPERLINK("https://www.leilaoonline.com.br/lote/detalhe/186535", "129")</f>
      </c>
      <c r="B12" s="4" t="s">
        <f>=HYPERLINK("https://www.leilaoonline.com.br/lote/detalhe/186535", " SISTEMA ADIABÁTICO SALAO DO ALIN COM DUTOS DE AR. - LOC. TARUMÃ")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=HYPERLINK("https://www.leilaoonline.com.br/lote/detalhe/186530", "131")</f>
      </c>
      <c r="B13" s="4" t="s">
        <f>=HYPERLINK("https://www.leilaoonline.com.br/lote/detalhe/186530", " CENTRIFUGA MOD.SCM 80. - FR159517. - TARUMÃ")</f>
      </c>
      <c r="C13" s="4" t="inlineStr">
        <is>
          <t>Vendido</t>
        </is>
      </c>
      <c r="D13" s="4" t="inlineStr">
        <is>
          <t>59</t>
        </is>
      </c>
      <c r="E13" s="5" t="inlineStr">
        <is>
          <t>20.500,00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=HYPERLINK("https://www.leilaoonline.com.br/lote/detalhe/186536", "132")</f>
      </c>
      <c r="B14" s="4" t="s">
        <f>=HYPERLINK("https://www.leilaoonline.com.br/lote/detalhe/186536", " MOEGA DE AÇÚCAR AMORFO. - LOC. TARUMÃ")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=HYPERLINK("https://www.leilaoonline.com.br/lote/detalhe/186619", "133")</f>
      </c>
      <c r="B15" s="4" t="s">
        <f>=HYPERLINK("https://www.leilaoonline.com.br/lote/detalhe/186619", " 02 ROSCA HELIOCIDAL , LOC. TARUMÃ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=HYPERLINK("https://www.leilaoonline.com.br/lote/detalhe/186623", "135")</f>
      </c>
      <c r="B16" s="4" t="s">
        <f>=HYPERLINK("https://www.leilaoonline.com.br/lote/detalhe/186623", " FILTRO BC-20 MATERIAL 4240, PLACA DE MANOBRA PARA VALVULA SANITARIA , LOC. TARUMÃ")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=HYPERLINK("https://www.leilaoonline.com.br/lote/detalhe/186626", "136")</f>
      </c>
      <c r="B17" s="4" t="s">
        <f>=HYPERLINK("https://www.leilaoonline.com.br/lote/detalhe/186626", " 02 TANQUES INOX GRANDES , LOC. TARUMÃ ")</f>
      </c>
      <c r="C17" s="4" t="inlineStr">
        <is>
          <t>Não vendido</t>
        </is>
      </c>
      <c r="D17" s="4" t="inlineStr">
        <is>
          <t>31</t>
        </is>
      </c>
      <c r="E17" s="5" t="inlineStr">
        <is>
          <t>14.500,00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=HYPERLINK("https://www.leilaoonline.com.br/lote/detalhe/186534", "140")</f>
      </c>
      <c r="B18" s="4" t="s">
        <f>=HYPERLINK("https://www.leilaoonline.com.br/lote/detalhe/186534", " BANCO DE RESISTORES PEQUENO - 1 PALLET COM 18 LUMINÁRIAS DE 24VCC E 1 PALLET COM BANCO DE CAPACITOR DE BAIXA TENSÃO. - LOC. TARUMÃ")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=HYPERLINK("https://www.leilaoonline.com.br/lote/detalhe/186533", "183")</f>
      </c>
      <c r="B19" s="4" t="s">
        <f>=HYPERLINK("https://www.leilaoonline.com.br/lote/detalhe/186533", " MOTOR CAPAC. APROX 75CV - 2 PALLETS DE SUCATA DE TRANSFORMADOR. - FR193309. - LOC. TARUMÃ")</f>
      </c>
      <c r="C19" s="4" t="inlineStr">
        <is>
          <t>Não vendido</t>
        </is>
      </c>
      <c r="D19" s="4" t="inlineStr">
        <is>
          <t>5</t>
        </is>
      </c>
      <c r="E19" s="5" t="inlineStr">
        <is>
          <t>1.800,00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=HYPERLINK("https://www.leilaoonline.com.br/lote/detalhe/186529", "186")</f>
      </c>
      <c r="B20" s="4" t="s">
        <f>=HYPERLINK("https://www.leilaoonline.com.br/lote/detalhe/186529", " PAINEL DE COMANDO C/05 PORTAS 4,00X0,50X2,00M E TRANSFORMADOR MOD.FRE CAPAC. 50KWA. - FR189260 / FR160021. - LOC. TARUMÃ")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=HYPERLINK("https://www.leilaoonline.com.br/lote/detalhe/186531", "188")</f>
      </c>
      <c r="B21" s="4" t="s">
        <f>=HYPERLINK("https://www.leilaoonline.com.br/lote/detalhe/186531", " LOTE COM 1 NOBREAK E 2 TRANSFORMADORES DE INDUTANCIA PQN. - LOC. TARUMÃ")</f>
      </c>
      <c r="C21" s="4" t="inlineStr">
        <is>
          <t>Vendido</t>
        </is>
      </c>
      <c r="D21" s="4" t="inlineStr">
        <is>
          <t>1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=HYPERLINK("https://www.leilaoonline.com.br/lote/detalhe/186527", "455")</f>
      </c>
      <c r="B22" s="4" t="s">
        <f>=HYPERLINK("https://www.leilaoonline.com.br/lote/detalhe/186527", " 3 KITS SOLLUS APLICAÇÃO DE HERBICIDA. - FR4447048/FR4445107/FR4445172. - LOC. CAARAPÓ")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1.650,00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=HYPERLINK("https://www.leilaoonline.com.br/lote/detalhe/187832", "734")</f>
      </c>
      <c r="B23" s="4" t="s">
        <f>=HYPERLINK("https://www.leilaoonline.com.br/lote/detalhe/187832", " CARROC. TORTA DE FILTRO, ANO 2012. - FR. 4455047. - LOC. CAARAPÓ")</f>
      </c>
      <c r="C23" s="4" t="inlineStr">
        <is>
          <t>Não vendido</t>
        </is>
      </c>
      <c r="D23" s="4" t="inlineStr">
        <is>
          <t>3</t>
        </is>
      </c>
      <c r="E23" s="5" t="inlineStr">
        <is>
          <t>5.500,00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=HYPERLINK("https://www.leilaoonline.com.br/lote/detalhe/186528", "850")</f>
      </c>
      <c r="B24" s="4" t="s">
        <f>=HYPERLINK("https://www.leilaoonline.com.br/lote/detalhe/186528", " REB. RODOVIARIA RQ CI PR SERVIÇOS DIVERSOS COM BAZUKA; ANO 1992/1992; AMARELO. - FR4450631. - LOC. CAARAPÓ")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=HYPERLINK("https://www.leilaoonline.com.br/lote/detalhe/186526", "874")</f>
      </c>
      <c r="B25" s="4" t="s">
        <f>=HYPERLINK("https://www.leilaoonline.com.br/lote/detalhe/186526", " 2 CULTIVADORES E 1 SULCADOR. - FR4445287/FR4443251/FR045029. - LOC. CAARAPÓ")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2.250,00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=HYPERLINK("https://www.leilaoonline.com.br/lote/detalhe/186544", "1023")</f>
      </c>
      <c r="B26" s="4" t="s">
        <f>=HYPERLINK("https://www.leilaoonline.com.br/lote/detalhe/186544", "REBOQUE RANDONSP RQ CA, ANO 2013/2014, CINZA, FR46968, LOC. IPAUSSU ")</f>
      </c>
      <c r="C26" s="4" t="inlineStr">
        <is>
          <t>Vendido</t>
        </is>
      </c>
      <c r="D26" s="4" t="inlineStr">
        <is>
          <t>10</t>
        </is>
      </c>
      <c r="E26" s="5" t="inlineStr">
        <is>
          <t>46.000,00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=HYPERLINK("https://www.leilaoonline.com.br/lote/detalhe/188501", "1235")</f>
      </c>
      <c r="B27" s="4" t="s">
        <f>=HYPERLINK("https://www.leilaoonline.com.br/lote/detalhe/188501", "TRATOR VALTRA BH 210I 4X4; ANO 2014. - FR4435080. - LOC. CAARAPÓ")</f>
      </c>
      <c r="C27" s="4" t="inlineStr">
        <is>
          <t>Vendido</t>
        </is>
      </c>
      <c r="D27" s="4" t="inlineStr">
        <is>
          <t>80</t>
        </is>
      </c>
      <c r="E27" s="5" t="inlineStr">
        <is>
          <t>137.000,00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=HYPERLINK("https://www.leilaoonline.com.br/lote/detalhe/187155", "1258")</f>
      </c>
      <c r="B28" s="4" t="s">
        <f>=HYPERLINK("https://www.leilaoonline.com.br/lote/detalhe/187155", " CAMINHÃO M.BENZ/ ATEGO 1725, ANO 2006/2006, BRANCA, FR5001104, (SEM MOTOR) - LOC. RIO BRILHANTE ")</f>
      </c>
      <c r="C28" s="4" t="inlineStr">
        <is>
          <t>Vendido</t>
        </is>
      </c>
      <c r="D28" s="4" t="inlineStr">
        <is>
          <t>1</t>
        </is>
      </c>
      <c r="E28" s="5" t="inlineStr">
        <is>
          <t>25.000,00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=HYPERLINK("https://www.leilaoonline.com.br/lote/detalhe/186857", "3625")</f>
      </c>
      <c r="B29" s="4" t="s">
        <f>=HYPERLINK("https://www.leilaoonline.com.br/lote/detalhe/186857", " TRANSBORDO ATA, ANO 2012, FR70636, LOC.DIAMANTE ")</f>
      </c>
      <c r="C29" s="4" t="inlineStr">
        <is>
          <t>Vendido</t>
        </is>
      </c>
      <c r="D29" s="4" t="inlineStr">
        <is>
          <t>24</t>
        </is>
      </c>
      <c r="E29" s="5" t="inlineStr">
        <is>
          <t>23.000,00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=HYPERLINK("https://www.leilaoonline.com.br/lote/detalhe/186525", "3685")</f>
      </c>
      <c r="B30" s="4" t="s">
        <f>=HYPERLINK("https://www.leilaoonline.com.br/lote/detalhe/186525", " SEMI REBOQUE RANDON SR CA 11,80 M, ANO 2007/2007; AZUL. - FR91175. - LOC. SANTA CANDIDA")</f>
      </c>
      <c r="C30" s="4" t="inlineStr">
        <is>
          <t>Não vendido</t>
        </is>
      </c>
      <c r="D30" s="4" t="inlineStr">
        <is>
          <t>4</t>
        </is>
      </c>
      <c r="E30" s="5" t="inlineStr">
        <is>
          <t>18.000,00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=HYPERLINK("https://www.leilaoonline.com.br/lote/detalhe/186839", "3686")</f>
      </c>
      <c r="B31" s="4" t="s">
        <f>=HYPERLINK("https://www.leilaoonline.com.br/lote/detalhe/186839", " S.REBOQUE RANDON SR CA, ANO 2007/2007, AZUL, FR91177, (VENDA SEM PNEUS E RODAS) LOC. SANTA CANDIDA ")</f>
      </c>
      <c r="C31" s="4" t="inlineStr">
        <is>
          <t>Vendido</t>
        </is>
      </c>
      <c r="D31" s="4" t="inlineStr">
        <is>
          <t>6</t>
        </is>
      </c>
      <c r="E31" s="5" t="inlineStr">
        <is>
          <t>25.000,00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=HYPERLINK("https://www.leilaoonline.com.br/lote/detalhe/186524", "3687")</f>
      </c>
      <c r="B32" s="4" t="s">
        <f>=HYPERLINK("https://www.leilaoonline.com.br/lote/detalhe/186524", " SEMI REBOQUE RANDON SR CA 11,80 M, ANO 2007/2007; AZUL. - FR46827. - LOC. SANTA CANDIDA")</f>
      </c>
      <c r="C32" s="4" t="inlineStr">
        <is>
          <t>Vendido</t>
        </is>
      </c>
      <c r="D32" s="4" t="inlineStr">
        <is>
          <t>5</t>
        </is>
      </c>
      <c r="E32" s="5" t="inlineStr">
        <is>
          <t>19.000,00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=HYPERLINK("https://www.leilaoonline.com.br/lote/detalhe/186454", "3691")</f>
      </c>
      <c r="B33" s="4" t="s">
        <f>=HYPERLINK("https://www.leilaoonline.com.br/lote/detalhe/186454", " SEMI REBOQUE RANDON SR CA 11,80 M; ANO 2007/2007; AZUL. - FR96210. - LOC. SANTA CANDIDA")</f>
      </c>
      <c r="C33" s="4" t="inlineStr">
        <is>
          <t>Não vendido</t>
        </is>
      </c>
      <c r="D33" s="4" t="inlineStr">
        <is>
          <t>10</t>
        </is>
      </c>
      <c r="E33" s="5" t="inlineStr">
        <is>
          <t>24.000,00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=HYPERLINK("https://www.leilaoonline.com.br/lote/detalhe/186852", "3694")</f>
      </c>
      <c r="B34" s="4" t="s">
        <f>=HYPERLINK("https://www.leilaoonline.com.br/lote/detalhe/186852", " REBOQUE RANDONSP RQ CA, ANO 2012/2012, AZUL,FR10902 (VENDA SEM PNEUS E RODAS) LOC. SANTA CANDIDA ")</f>
      </c>
      <c r="C34" s="4" t="inlineStr">
        <is>
          <t>Vendido</t>
        </is>
      </c>
      <c r="D34" s="4" t="inlineStr">
        <is>
          <t>23</t>
        </is>
      </c>
      <c r="E34" s="5" t="inlineStr">
        <is>
          <t>53.000,00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=HYPERLINK("https://www.leilaoonline.com.br/lote/detalhe/186849", "3695")</f>
      </c>
      <c r="B35" s="4" t="s">
        <f>=HYPERLINK("https://www.leilaoonline.com.br/lote/detalhe/186849", " REBOQUE RANDONSP RQ CA, ANO 2010/2011, AZUL, FR121489 (VENDA SEM PNEUS E RODAS) LOC. SANTA CANDIDA  ")</f>
      </c>
      <c r="C35" s="4" t="inlineStr">
        <is>
          <t>Não vendido</t>
        </is>
      </c>
      <c r="D35" s="4" t="inlineStr">
        <is>
          <t>18</t>
        </is>
      </c>
      <c r="E35" s="5" t="inlineStr">
        <is>
          <t>47.000,00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=HYPERLINK("https://www.leilaoonline.com.br/lote/detalhe/186444", "3696")</f>
      </c>
      <c r="B36" s="4" t="s">
        <f>=HYPERLINK("https://www.leilaoonline.com.br/lote/detalhe/186444", " SEMI REBOQUE RANDON SR CA 11,80 M, ANO 2007/2007. - FR91174. - LOC. SANTA CANDIDA ")</f>
      </c>
      <c r="C36" s="4" t="inlineStr">
        <is>
          <t>Vendido</t>
        </is>
      </c>
      <c r="D36" s="4" t="inlineStr">
        <is>
          <t>11</t>
        </is>
      </c>
      <c r="E36" s="5" t="inlineStr">
        <is>
          <t>25.000,00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=HYPERLINK("https://www.leilaoonline.com.br/lote/detalhe/186847", "3697")</f>
      </c>
      <c r="B37" s="4" t="s">
        <f>=HYPERLINK("https://www.leilaoonline.com.br/lote/detalhe/186847", " REBOQUE RANDON RQ CP, ANO 2010/2010, AZUL , FR46882, ( VENDA SEM PNEUS E RODAS) LOC. SANTA CANDIDA  ")</f>
      </c>
      <c r="C37" s="4" t="inlineStr">
        <is>
          <t>Vendido</t>
        </is>
      </c>
      <c r="D37" s="4" t="inlineStr">
        <is>
          <t>21</t>
        </is>
      </c>
      <c r="E37" s="5" t="inlineStr">
        <is>
          <t>46.000,00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=HYPERLINK("https://www.leilaoonline.com.br/lote/detalhe/186446", "3706")</f>
      </c>
      <c r="B38" s="4" t="s">
        <f>=HYPERLINK("https://www.leilaoonline.com.br/lote/detalhe/186446", " SUCATA DE SAVEIRO. - FR501389. - LOC. SANTA CANDIDA")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=HYPERLINK("https://www.leilaoonline.com.br/lote/detalhe/186448", "3709")</f>
      </c>
      <c r="B39" s="4" t="s">
        <f>=HYPERLINK("https://www.leilaoonline.com.br/lote/detalhe/186448", " DESENLEIRADOR DE PALHA. - FR1101. - LOC. BIOMASSA")</f>
      </c>
      <c r="C39" s="4" t="inlineStr">
        <is>
          <t>Não vendido</t>
        </is>
      </c>
      <c r="D39" s="4" t="inlineStr">
        <is>
          <t>9</t>
        </is>
      </c>
      <c r="E39" s="5" t="inlineStr">
        <is>
          <t>7.000,00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=HYPERLINK("https://www.leilaoonline.com.br/lote/detalhe/186850", "3710")</f>
      </c>
      <c r="B40" s="4" t="s">
        <f>=HYPERLINK("https://www.leilaoonline.com.br/lote/detalhe/186850", " DESENLHEIRADOR DE PALHA, FR7011590, LOC. BIOMASSA")</f>
      </c>
      <c r="C40" s="4" t="inlineStr">
        <is>
          <t>Não vendido</t>
        </is>
      </c>
      <c r="D40" s="4" t="inlineStr">
        <is>
          <t>11</t>
        </is>
      </c>
      <c r="E40" s="5" t="inlineStr">
        <is>
          <t>12.000,00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=HYPERLINK("https://www.leilaoonline.com.br/lote/detalhe/186843", "3717")</f>
      </c>
      <c r="B41" s="4" t="s">
        <f>=HYPERLINK("https://www.leilaoonline.com.br/lote/detalhe/186843", " CAMINHÃO VW/26.220, EURO3 WORKER CARROC. TANQUE, ANO 2010/2010, BRANCA, FR96622/98530 , LOC. DIAMANTE ")</f>
      </c>
      <c r="C41" s="4" t="inlineStr">
        <is>
          <t>Não vendido</t>
        </is>
      </c>
      <c r="D41" s="4" t="inlineStr">
        <is>
          <t>105</t>
        </is>
      </c>
      <c r="E41" s="5" t="inlineStr">
        <is>
          <t>217.000,00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=HYPERLINK("https://www.leilaoonline.com.br/lote/detalhe/186464", "4061")</f>
      </c>
      <c r="B42" s="4" t="s">
        <f>=HYPERLINK("https://www.leilaoonline.com.br/lote/detalhe/186464", " SEMI REBOQUE RANDON SRCA CA 12,50 M; ANO 2008/2008; AZUL. - FR121422. - LOC. BONFIM")</f>
      </c>
      <c r="C42" s="4" t="inlineStr">
        <is>
          <t>Não vendido</t>
        </is>
      </c>
      <c r="D42" s="4" t="inlineStr">
        <is>
          <t>18</t>
        </is>
      </c>
      <c r="E42" s="5" t="inlineStr">
        <is>
          <t>37.000,00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=HYPERLINK("https://www.leilaoonline.com.br/lote/detalhe/186616", "4070")</f>
      </c>
      <c r="B43" s="4" t="s">
        <f>=HYPERLINK("https://www.leilaoonline.com.br/lote/detalhe/186616", " CAMINHÃO M.BENZ/AXOR 3344S6x4, ANO 2014/2014, BRANCA,FR119996, LOC. BONFIM ")</f>
      </c>
      <c r="C43" s="4" t="inlineStr">
        <is>
          <t>Não vendido</t>
        </is>
      </c>
      <c r="D43" s="4" t="inlineStr">
        <is>
          <t>55</t>
        </is>
      </c>
      <c r="E43" s="5" t="inlineStr">
        <is>
          <t>105.000,00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=HYPERLINK("https://www.leilaoonline.com.br/lote/detalhe/186522", "4073")</f>
      </c>
      <c r="B44" s="4" t="s">
        <f>=HYPERLINK("https://www.leilaoonline.com.br/lote/detalhe/186522", " CARRETA DIS.TORTA SPANDER, ANO 2011, FR57308, LOC. ARARAQUARA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=HYPERLINK("https://www.leilaoonline.com.br/lote/detalhe/186597", "4082")</f>
      </c>
      <c r="B45" s="4" t="s">
        <f>=HYPERLINK("https://www.leilaoonline.com.br/lote/detalhe/186597", " CAMINHÃO M.BENZ AXOR 3344 6X4, ANO 2014/2014, BRANCA, FR10654, LOC. SERRA ")</f>
      </c>
      <c r="C45" s="4" t="inlineStr">
        <is>
          <t>Não vendido</t>
        </is>
      </c>
      <c r="D45" s="4" t="inlineStr">
        <is>
          <t>60</t>
        </is>
      </c>
      <c r="E45" s="5" t="inlineStr">
        <is>
          <t>113.000,00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=HYPERLINK("https://www.leilaoonline.com.br/lote/detalhe/186591", "4083")</f>
      </c>
      <c r="B46" s="4" t="s">
        <f>=HYPERLINK("https://www.leilaoonline.com.br/lote/detalhe/186591", " CAMINHÃO M.BENZ AXOR 3344 6X4, ANO 2014/2014, BRANCA, FR131247, LOC. SERRA ")</f>
      </c>
      <c r="C46" s="4" t="inlineStr">
        <is>
          <t>Não vendido</t>
        </is>
      </c>
      <c r="D46" s="4" t="inlineStr">
        <is>
          <t>55</t>
        </is>
      </c>
      <c r="E46" s="5" t="inlineStr">
        <is>
          <t>120.000,00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=HYPERLINK("https://www.leilaoonline.com.br/lote/detalhe/186447", "4131")</f>
      </c>
      <c r="B47" s="4" t="s">
        <f>=HYPERLINK("https://www.leilaoonline.com.br/lote/detalhe/186447", "TRANSBORDO SANTAL 12T, ANO 2008. - FR101955. - LOC. PARAISO")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11.000,00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=HYPERLINK("https://www.leilaoonline.com.br/lote/detalhe/186842", "5020")</f>
      </c>
      <c r="B48" s="4" t="s">
        <f>=HYPERLINK("https://www.leilaoonline.com.br/lote/detalhe/186842", " SEMI-REBOQUE RANDON SR CA, 9,60M CANA INTEIRA, ANO 2002/2002, AZUL, FR56214, LOC. BOM RETIRO ")</f>
      </c>
      <c r="C48" s="4" t="inlineStr">
        <is>
          <t>Vendido</t>
        </is>
      </c>
      <c r="D48" s="4" t="inlineStr">
        <is>
          <t>1</t>
        </is>
      </c>
      <c r="E48" s="5" t="inlineStr">
        <is>
          <t>15.000,00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=HYPERLINK("https://www.leilaoonline.com.br/lote/detalhe/186845", "5027")</f>
      </c>
      <c r="B49" s="4" t="s">
        <f>=HYPERLINK("https://www.leilaoonline.com.br/lote/detalhe/186845", " CAMINHAO VW/31-320 CNC 6X4, ANO 2010/2010, BRANCA, FR96665, (TRANSBORDO FR98673) LOC. BOM RETIRO ")</f>
      </c>
      <c r="C49" s="4" t="inlineStr">
        <is>
          <t>Vendido</t>
        </is>
      </c>
      <c r="D49" s="4" t="inlineStr">
        <is>
          <t>104</t>
        </is>
      </c>
      <c r="E49" s="5" t="inlineStr">
        <is>
          <t>148.000,00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=HYPERLINK("https://www.leilaoonline.com.br/lote/detalhe/186517", "5035")</f>
      </c>
      <c r="B50" s="4" t="s">
        <f>=HYPERLINK("https://www.leilaoonline.com.br/lote/detalhe/186517", " TANQUE CILINDRICO VERTICAL MAT POLETILE, FR209865, LOC. RAFARD")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=HYPERLINK("https://www.leilaoonline.com.br/lote/detalhe/186504", "5048")</f>
      </c>
      <c r="B51" s="4" t="s">
        <f>=HYPERLINK("https://www.leilaoonline.com.br/lote/detalhe/186504", "SEMI REBOQUE RANDON RQ CI HI, ANO 1996/1996, AZUL, FR14004186 - LOC. SANTA ELISA")</f>
      </c>
      <c r="C51" s="4" t="inlineStr">
        <is>
          <t>Vendido</t>
        </is>
      </c>
      <c r="D51" s="4" t="inlineStr">
        <is>
          <t>1</t>
        </is>
      </c>
      <c r="E51" s="5" t="inlineStr">
        <is>
          <t>10.000,00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=HYPERLINK("https://www.leilaoonline.com.br/lote/detalhe/186505", "5099")</f>
      </c>
      <c r="B52" s="4" t="s">
        <f>=HYPERLINK("https://www.leilaoonline.com.br/lote/detalhe/186505", "REBOQUE RANDONSP RQ CA 4E 12,5M, 2010/2011, AZUL, FR93653 - LOC. JUNQUEIRA")</f>
      </c>
      <c r="C52" s="4" t="inlineStr">
        <is>
          <t>Não vendido</t>
        </is>
      </c>
      <c r="D52" s="4" t="inlineStr">
        <is>
          <t>3</t>
        </is>
      </c>
      <c r="E52" s="5" t="inlineStr">
        <is>
          <t>42.000,00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=HYPERLINK("https://www.leilaoonline.com.br/lote/detalhe/188503", "5111")</f>
      </c>
      <c r="B53" s="4" t="s">
        <f>=HYPERLINK("https://www.leilaoonline.com.br/lote/detalhe/188503", "QUADRICICLO HONDA TRX 420 FOURTRAX FM 4X4, C/ SISTEMA DE APLICAÇÃO HERBICIDA, ANO 2016 - FR7006003 - LOC. LEME")</f>
      </c>
      <c r="C53" s="4" t="inlineStr">
        <is>
          <t>Vendido</t>
        </is>
      </c>
      <c r="D53" s="4" t="inlineStr">
        <is>
          <t>22</t>
        </is>
      </c>
      <c r="E53" s="5" t="inlineStr">
        <is>
          <t>19.500,00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=HYPERLINK("https://www.leilaoonline.com.br/lote/detalhe/186453", "6012")</f>
      </c>
      <c r="B54" s="4" t="s">
        <f>=HYPERLINK("https://www.leilaoonline.com.br/lote/detalhe/186453", "REBOQUE RECLAL MT RC SC 200 SACI; ANO 2015/2015; PRETA. -  FR48405. - IPAUSSU")</f>
      </c>
      <c r="C54" s="4" t="inlineStr">
        <is>
          <t>Não vendido</t>
        </is>
      </c>
      <c r="D54" s="4" t="inlineStr">
        <is>
          <t>3</t>
        </is>
      </c>
      <c r="E54" s="5" t="inlineStr">
        <is>
          <t>3.500,00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=HYPERLINK("https://www.leilaoonline.com.br/lote/detalhe/186855", "6014")</f>
      </c>
      <c r="B55" s="4" t="s">
        <f>=HYPERLINK("https://www.leilaoonline.com.br/lote/detalhe/186855", " COLHEDORA J.DEERE, ANO 2013, FR49577, LOC. IPAUSSU ")</f>
      </c>
      <c r="C55" s="4" t="inlineStr">
        <is>
          <t>Vendido</t>
        </is>
      </c>
      <c r="D55" s="4" t="inlineStr">
        <is>
          <t>1</t>
        </is>
      </c>
      <c r="E55" s="5" t="inlineStr">
        <is>
          <t>25.000,00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=HYPERLINK("https://www.leilaoonline.com.br/lote/detalhe/186455", "6018")</f>
      </c>
      <c r="B56" s="4" t="s">
        <f>=HYPERLINK("https://www.leilaoonline.com.br/lote/detalhe/186455", "SUBSOLADOR ARRAST,  ANO 2018. - FR48272/48175 - LOC. IPAUSSU")</f>
      </c>
      <c r="C56" s="4" t="inlineStr">
        <is>
          <t>Não vendido</t>
        </is>
      </c>
      <c r="D56" s="4" t="inlineStr">
        <is>
          <t>12</t>
        </is>
      </c>
      <c r="E56" s="5" t="inlineStr">
        <is>
          <t>11.000,00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=HYPERLINK("https://www.leilaoonline.com.br/lote/detalhe/186452", "6020")</f>
      </c>
      <c r="B57" s="4" t="s">
        <f>=HYPERLINK("https://www.leilaoonline.com.br/lote/detalhe/186452", " ENXADA ROTATIVA UNIVERSAL, ANO 2014. - FR48159. - LOC. IPAUSSU")</f>
      </c>
      <c r="C57" s="4" t="inlineStr">
        <is>
          <t>Não vendido</t>
        </is>
      </c>
      <c r="D57" s="4" t="inlineStr">
        <is>
          <t>6</t>
        </is>
      </c>
      <c r="E57" s="5" t="inlineStr">
        <is>
          <t>7.500,00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=HYPERLINK("https://www.leilaoonline.com.br/lote/detalhe/186449", "7005")</f>
      </c>
      <c r="B58" s="4" t="s">
        <f>=HYPERLINK("https://www.leilaoonline.com.br/lote/detalhe/186449", " CAMINHÃO SCANIA R113 E 6X4 360; ANO 1993/1993, BRANCO. -  FR81464. - LOC. MUNDIAL")</f>
      </c>
      <c r="C58" s="4" t="inlineStr">
        <is>
          <t>Não vendido</t>
        </is>
      </c>
      <c r="D58" s="4" t="inlineStr">
        <is>
          <t>18</t>
        </is>
      </c>
      <c r="E58" s="5" t="inlineStr">
        <is>
          <t>41.000,00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=HYPERLINK("https://www.leilaoonline.com.br/lote/detalhe/186450", "7013")</f>
      </c>
      <c r="B59" s="4" t="s">
        <f>=HYPERLINK("https://www.leilaoonline.com.br/lote/detalhe/186450", " REBOQUE 4E RANDONSP RQ CA 12,5M - CANA PICADA; ANO 2010/2010; AZUL. - LOC. GASA")</f>
      </c>
      <c r="C59" s="4" t="inlineStr">
        <is>
          <t>Vendido</t>
        </is>
      </c>
      <c r="D59" s="4" t="inlineStr">
        <is>
          <t>20</t>
        </is>
      </c>
      <c r="E59" s="5" t="inlineStr">
        <is>
          <t>44.000,00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=HYPERLINK("https://www.leilaoonline.com.br/lote/detalhe/186858", "7014")</f>
      </c>
      <c r="B60" s="4" t="s">
        <f>=HYPERLINK("https://www.leilaoonline.com.br/lote/detalhe/186858", " REBOQUE RANDONSP, RQ CA  4E 12,5M, ANO 2010/2010, AZUL - CANA PICADA, FR112598, LOC. GASA ")</f>
      </c>
      <c r="C60" s="4" t="inlineStr">
        <is>
          <t>Vendido</t>
        </is>
      </c>
      <c r="D60" s="4" t="inlineStr">
        <is>
          <t>12</t>
        </is>
      </c>
      <c r="E60" s="5" t="inlineStr">
        <is>
          <t>36.000,00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=HYPERLINK("https://www.leilaoonline.com.br/lote/detalhe/186547", "7017")</f>
      </c>
      <c r="B61" s="4" t="s">
        <f>=HYPERLINK("https://www.leilaoonline.com.br/lote/detalhe/186547", " CAMINHAO VW/ 31. 320 CNC 6X4, ANO 2010/2010, BRANCA, FR 88181, CAR, TRANSB- S/MOTOR E CAMBIO, LOC. GASA ")</f>
      </c>
      <c r="C61" s="4" t="inlineStr">
        <is>
          <t>Vendido</t>
        </is>
      </c>
      <c r="D61" s="4" t="inlineStr">
        <is>
          <t>41</t>
        </is>
      </c>
      <c r="E61" s="5" t="inlineStr">
        <is>
          <t>65.000,00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=HYPERLINK("https://www.leilaoonline.com.br/lote/detalhe/186456", "7018")</f>
      </c>
      <c r="B62" s="4" t="s">
        <f>=HYPERLINK("https://www.leilaoonline.com.br/lote/detalhe/186456", " CAMINHAO MERCEDES BENZ 1313 TOCO; ANO 1980/1980; AZUL. - FR81402. - LOC. GASA")</f>
      </c>
      <c r="C62" s="4" t="inlineStr">
        <is>
          <t>Não vendido</t>
        </is>
      </c>
      <c r="D62" s="4" t="inlineStr">
        <is>
          <t>27</t>
        </is>
      </c>
      <c r="E62" s="5" t="inlineStr">
        <is>
          <t>25.000,00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=HYPERLINK("https://www.leilaoonline.com.br/lote/detalhe/186546", "7019")</f>
      </c>
      <c r="B63" s="4" t="s">
        <f>=HYPERLINK("https://www.leilaoonline.com.br/lote/detalhe/186546", "Trator Case MX 240 Magnum 4x4, ANO 2010, FR100045 LOC. GASA ")</f>
      </c>
      <c r="C63" s="4" t="inlineStr">
        <is>
          <t>Vendido</t>
        </is>
      </c>
      <c r="D63" s="4" t="inlineStr">
        <is>
          <t>52</t>
        </is>
      </c>
      <c r="E63" s="5" t="inlineStr">
        <is>
          <t>66.000,00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=HYPERLINK("https://www.leilaoonline.com.br/lote/detalhe/186490", "7039")</f>
      </c>
      <c r="B64" s="4" t="s">
        <f>=HYPERLINK("https://www.leilaoonline.com.br/lote/detalhe/186490", " LOTE DE 2 CONDENSADOR BAROMETRICO 30 T H N. - FR299265/CON-RB-0016. - LOC. RIO BRILHANTE")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=HYPERLINK("https://www.leilaoonline.com.br/lote/detalhe/186484", "7040")</f>
      </c>
      <c r="B65" s="4" t="s">
        <f>=HYPERLINK("https://www.leilaoonline.com.br/lote/detalhe/186484", " LOTE DE 2 CONDENSADOR BAROMETRICO 30 T H N. - FR299173/FR299875. - LOC. RIO BRILHANTE")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3.000,00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=HYPERLINK("https://www.leilaoonline.com.br/lote/detalhe/186493", "7041")</f>
      </c>
      <c r="B66" s="4" t="s">
        <f>=HYPERLINK("https://www.leilaoonline.com.br/lote/detalhe/186493", " TANQUE DE AÇO. - TQE-RB-0048. - LOC. RIO BRILHANTE")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=HYPERLINK("https://www.leilaoonline.com.br/lote/detalhe/186485", "7042")</f>
      </c>
      <c r="B67" s="4" t="s">
        <f>=HYPERLINK("https://www.leilaoonline.com.br/lote/detalhe/186485", " PONTE ROLANTE 2 TON; ANO 2007. - FR277262. - LOC. RIO BRILHANTE")</f>
      </c>
      <c r="C67" s="4" t="inlineStr">
        <is>
          <t>Não vendido</t>
        </is>
      </c>
      <c r="D67" s="4" t="inlineStr">
        <is>
          <t>20</t>
        </is>
      </c>
      <c r="E67" s="5" t="inlineStr">
        <is>
          <t>12.000,00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=HYPERLINK("https://www.leilaoonline.com.br/lote/detalhe/186483", "7043")</f>
      </c>
      <c r="B68" s="4" t="s">
        <f>=HYPERLINK("https://www.leilaoonline.com.br/lote/detalhe/186483", " PENEIRA ROTATIVA CALDO 1.  - PER-RB-0005. - LOC. RIO BRILHANTE")</f>
      </c>
      <c r="C68" s="4" t="inlineStr">
        <is>
          <t>Não vendido</t>
        </is>
      </c>
      <c r="D68" s="4" t="inlineStr">
        <is>
          <t>2</t>
        </is>
      </c>
      <c r="E68" s="5" t="inlineStr">
        <is>
          <t>6.000,00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=HYPERLINK("https://www.leilaoonline.com.br/lote/detalhe/186495", "7044")</f>
      </c>
      <c r="B69" s="4" t="s">
        <f>=HYPERLINK("https://www.leilaoonline.com.br/lote/detalhe/186495", " PENEIRA ROTATIVA CALDO 2. - FR295632. - LOC. RIO BRILHANTE")</f>
      </c>
      <c r="C69" s="4" t="inlineStr">
        <is>
          <t>Não vendido</t>
        </is>
      </c>
      <c r="D69" s="4" t="inlineStr">
        <is>
          <t>2</t>
        </is>
      </c>
      <c r="E69" s="5" t="inlineStr">
        <is>
          <t>6.000,00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=HYPERLINK("https://www.leilaoonline.com.br/lote/detalhe/186487", "7045")</f>
      </c>
      <c r="B70" s="4" t="s">
        <f>=HYPERLINK("https://www.leilaoonline.com.br/lote/detalhe/186487", " LOTE DE 2 ESTRUTURA DE TROCADOR DE CALOR DORNA PRIMARIA DE FERMENTAÇÃO. -  TCP-RB-0010/TCP-RB-0009. - LOC. RIO BRILHANTE")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=HYPERLINK("https://www.leilaoonline.com.br/lote/detalhe/186482", "7047")</f>
      </c>
      <c r="B71" s="4" t="s">
        <f>=HYPERLINK("https://www.leilaoonline.com.br/lote/detalhe/186482", " LOTE DE 5 MOTOBOMBAS, IRRIGABRÁS. - FR9005029/FR9005031/FR9003032/FR9005015/FR5005721. - LOC. RIO BRILHANTE")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3.000,00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=HYPERLINK("https://www.leilaoonline.com.br/lote/detalhe/188661", "7775")</f>
      </c>
      <c r="B72" s="4" t="s">
        <f>=HYPERLINK("https://www.leilaoonline.com.br/lote/detalhe/188661", "Sucata de tubos de caldeira de aprox. 8 metros de comprimento. Peso aproximado 70 toneladas. (LANCE POR KG) - LOC.: Bonfim")</f>
      </c>
      <c r="C72" s="4" t="inlineStr">
        <is>
          <t>Não vendido</t>
        </is>
      </c>
      <c r="D72" s="4" t="inlineStr">
        <is>
          <t>2</t>
        </is>
      </c>
      <c r="E72" s="5" t="inlineStr">
        <is>
          <t>70.000,00</t>
        </is>
      </c>
      <c r="F72" s="4" t="inlineStr">
        <is>
          <t>0.10</t>
        </is>
      </c>
    </row>
    <row collapsed="false" customFormat="false" customHeight="false" hidden="false" ht="12.1" outlineLevel="0" r="73">
      <c r="A73" s="5" t="s">
        <f>=HYPERLINK("https://www.leilaoonline.com.br/lote/detalhe/186475", "8000")</f>
      </c>
      <c r="B73" s="4" t="s">
        <f>=HYPERLINK("https://www.leilaoonline.com.br/lote/detalhe/186475", " LOTE 3 CULTIVADORES. - FR4445230/FR4445018/FR4445231. - LOC. CAARAPÓ")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=HYPERLINK("https://www.leilaoonline.com.br/lote/detalhe/186481", "8001")</f>
      </c>
      <c r="B74" s="4" t="s">
        <f>=HYPERLINK("https://www.leilaoonline.com.br/lote/detalhe/186481", " LOTE 3 CULTIVADORES. - FR4445228/FR4445262/FR4445263. - LOC. CAARAPÓ")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=HYPERLINK("https://www.leilaoonline.com.br/lote/detalhe/186593", "8002")</f>
      </c>
      <c r="B75" s="4" t="s">
        <f>=HYPERLINK("https://www.leilaoonline.com.br/lote/detalhe/186593", " CAMINHÃO M.BENZ/AXOR 3344 6x4, ANO 2016/2017, BRANCA, FR4415048, LOC. CAARAPÓ")</f>
      </c>
      <c r="C75" s="4" t="inlineStr">
        <is>
          <t>Vendido</t>
        </is>
      </c>
      <c r="D75" s="4" t="inlineStr">
        <is>
          <t>56</t>
        </is>
      </c>
      <c r="E75" s="5" t="inlineStr">
        <is>
          <t>100.000,00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=HYPERLINK("https://www.leilaoonline.com.br/lote/detalhe/187834", "8004")</f>
      </c>
      <c r="B76" s="4" t="s">
        <f>=HYPERLINK("https://www.leilaoonline.com.br/lote/detalhe/187834", " LOTE 2 CARRETA DE PLANTIO PLATAFORMA, FR4445337/FR4445341, LOC. CAARAPÓ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=HYPERLINK("https://www.leilaoonline.com.br/lote/detalhe/186476", "8021")</f>
      </c>
      <c r="B77" s="4" t="s">
        <f>=HYPERLINK("https://www.leilaoonline.com.br/lote/detalhe/186476", " SUCATA DE FIAT UNO. - LOC. CAARAPO")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=HYPERLINK("https://www.leilaoonline.com.br/lote/detalhe/186477", "8022")</f>
      </c>
      <c r="B78" s="4" t="s">
        <f>=HYPERLINK("https://www.leilaoonline.com.br/lote/detalhe/186477", " SUCATA DE FIAT UNO. - LOC. CAARAPO")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=HYPERLINK("https://www.leilaoonline.com.br/lote/detalhe/187833", "8024")</f>
      </c>
      <c r="B79" s="4" t="s">
        <f>=HYPERLINK("https://www.leilaoonline.com.br/lote/detalhe/187833", " CARROC. TORTA DE FILTRO, ANO 2013,  FR55088, LOC. CAARAPÓ ")</f>
      </c>
      <c r="C79" s="4" t="inlineStr">
        <is>
          <t>Não vendido</t>
        </is>
      </c>
      <c r="D79" s="4" t="inlineStr">
        <is>
          <t>26</t>
        </is>
      </c>
      <c r="E79" s="5" t="inlineStr">
        <is>
          <t>11.250,00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=HYPERLINK("https://www.leilaoonline.com.br/lote/detalhe/186480", "8026")</f>
      </c>
      <c r="B80" s="4" t="s">
        <f>=HYPERLINK("https://www.leilaoonline.com.br/lote/detalhe/186480", " LOTE 3 CULTIVADORES ALEIRADOR DE CANA CRUA, 3 L. - FR4445025/FR4445201/FR4445024/FR4445200. - LOC. CAARAPÓ")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=HYPERLINK("https://www.leilaoonline.com.br/lote/detalhe/186516", "8027")</f>
      </c>
      <c r="B81" s="4" t="s">
        <f>=HYPERLINK("https://www.leilaoonline.com.br/lote/detalhe/186516", "BOMBA DE ABASTECIMENTO TRIFASICO, ANO 2016, PAT. 188293, LOC. CAARAPÓ")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=HYPERLINK("https://www.leilaoonline.com.br/lote/detalhe/186494", "8046")</f>
      </c>
      <c r="B82" s="4" t="s">
        <f>=HYPERLINK("https://www.leilaoonline.com.br/lote/detalhe/186494", " LOTE DE 2 CARRETINHA BANHEIRO FAB. PROPRIA. - FR293309/FR293895 - LOC. PASSATEMPO")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=HYPERLINK("https://www.leilaoonline.com.br/lote/detalhe/186486", "8050")</f>
      </c>
      <c r="B83" s="4" t="s">
        <f>=HYPERLINK("https://www.leilaoonline.com.br/lote/detalhe/186486", " LOTE DE GERADOR A DIESEL CAT 450KV/MOTOR DE GERADOR A DIESEL. - FR292169/FR292168. - LOC. PASSATEMPO")</f>
      </c>
      <c r="C83" s="4" t="inlineStr">
        <is>
          <t>Não vendido</t>
        </is>
      </c>
      <c r="D83" s="4" t="inlineStr">
        <is>
          <t>59</t>
        </is>
      </c>
      <c r="E83" s="5" t="inlineStr">
        <is>
          <t>43.000,00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=HYPERLINK("https://www.leilaoonline.com.br/lote/detalhe/186609", "9000")</f>
      </c>
      <c r="B84" s="4" t="s">
        <f>=HYPERLINK("https://www.leilaoonline.com.br/lote/detalhe/186609", " CAMINHÃO M.BENZ/AXOR 3344S 6X4, ANO 2016/2016, BRANCA, FR4415065, LOC. CAARAPÓ")</f>
      </c>
      <c r="C84" s="4" t="inlineStr">
        <is>
          <t>Vendido</t>
        </is>
      </c>
      <c r="D84" s="4" t="inlineStr">
        <is>
          <t>71</t>
        </is>
      </c>
      <c r="E84" s="5" t="inlineStr">
        <is>
          <t>125.000,00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=HYPERLINK("https://www.leilaoonline.com.br/lote/detalhe/186603", "9002")</f>
      </c>
      <c r="B85" s="4" t="s">
        <f>=HYPERLINK("https://www.leilaoonline.com.br/lote/detalhe/186603", " CAMINHÃO VOLVO/FM 500, 6X4T, ANO 2013/2013, BRANCA, FR015036, LOC. CAARAPÓ ")</f>
      </c>
      <c r="C85" s="4" t="inlineStr">
        <is>
          <t>Vendido</t>
        </is>
      </c>
      <c r="D85" s="4" t="inlineStr">
        <is>
          <t>24</t>
        </is>
      </c>
      <c r="E85" s="5" t="inlineStr">
        <is>
          <t>68.000,00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=HYPERLINK("https://www.leilaoonline.com.br/lote/detalhe/186595", "9004")</f>
      </c>
      <c r="B86" s="4" t="s">
        <f>=HYPERLINK("https://www.leilaoonline.com.br/lote/detalhe/186595", " CAMINHÃO M.BENZ/AXOR 3344S6X4, ANO 2017/2017, BRANCA, FR4415067, LOC. CAARAPÓ ")</f>
      </c>
      <c r="C86" s="4" t="inlineStr">
        <is>
          <t>Vendido</t>
        </is>
      </c>
      <c r="D86" s="4" t="inlineStr">
        <is>
          <t>85</t>
        </is>
      </c>
      <c r="E86" s="5" t="inlineStr">
        <is>
          <t>140.000,00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=HYPERLINK("https://www.leilaoonline.com.br/lote/detalhe/186592", "9006")</f>
      </c>
      <c r="B87" s="4" t="s">
        <f>=HYPERLINK("https://www.leilaoonline.com.br/lote/detalhe/186592", " CAMINHÃO M.BENZ/AXOR 3344S6X4, ANO 2016/2016, BRANCA, FR4415064, LOC.CAARAPÓ")</f>
      </c>
      <c r="C87" s="4" t="inlineStr">
        <is>
          <t>Não vendido</t>
        </is>
      </c>
      <c r="D87" s="4" t="inlineStr">
        <is>
          <t>89</t>
        </is>
      </c>
      <c r="E87" s="5" t="inlineStr">
        <is>
          <t>142.000,00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=HYPERLINK("https://www.leilaoonline.com.br/lote/detalhe/186598", "9008")</f>
      </c>
      <c r="B88" s="4" t="s">
        <f>=HYPERLINK("https://www.leilaoonline.com.br/lote/detalhe/186598", " CAMINHAO M.BENZ/AXOR 3344S6X4, ANO 2016/2016, BRANCA, FR415056, LOC. CAARAPÓ")</f>
      </c>
      <c r="C88" s="4" t="inlineStr">
        <is>
          <t>Não vendido</t>
        </is>
      </c>
      <c r="D88" s="4" t="inlineStr">
        <is>
          <t>17</t>
        </is>
      </c>
      <c r="E88" s="5" t="inlineStr">
        <is>
          <t>61.000,00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=HYPERLINK("https://www.leilaoonline.com.br/lote/detalhe/186508", "9010")</f>
      </c>
      <c r="B89" s="4" t="s">
        <f>=HYPERLINK("https://www.leilaoonline.com.br/lote/detalhe/186508", " TRATOR JOHN DEERE, MODELO 6180J, ANO 2016.( SUCATEADO ) - FR4435134. - LOC. CAARAPO")</f>
      </c>
      <c r="C89" s="4" t="inlineStr">
        <is>
          <t>Vendido</t>
        </is>
      </c>
      <c r="D89" s="4" t="inlineStr">
        <is>
          <t>40</t>
        </is>
      </c>
      <c r="E89" s="5" t="inlineStr">
        <is>
          <t>38.000,00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=HYPERLINK("https://www.leilaoonline.com.br/lote/detalhe/186611", "9011")</f>
      </c>
      <c r="B90" s="4" t="s">
        <f>=HYPERLINK("https://www.leilaoonline.com.br/lote/detalhe/186611", " CAMINHAO FORD/CARGO 2628 E, ANO 2007/2007, BRANCA, FR16043, LOC. CAARAPÓ")</f>
      </c>
      <c r="C90" s="4" t="inlineStr">
        <is>
          <t>Vendido</t>
        </is>
      </c>
      <c r="D90" s="4" t="inlineStr">
        <is>
          <t>82</t>
        </is>
      </c>
      <c r="E90" s="5" t="inlineStr">
        <is>
          <t>122.000,00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=HYPERLINK("https://www.leilaoonline.com.br/lote/detalhe/186606", "9014")</f>
      </c>
      <c r="B91" s="4" t="s">
        <f>=HYPERLINK("https://www.leilaoonline.com.br/lote/detalhe/186606", " TRANSBORDO CIVEMASSA TAC 10500, ANO 2010, FR4445132, LOC. CAARAPÓ")</f>
      </c>
      <c r="C91" s="4" t="inlineStr">
        <is>
          <t>Vendido</t>
        </is>
      </c>
      <c r="D91" s="4" t="inlineStr">
        <is>
          <t>1</t>
        </is>
      </c>
      <c r="E91" s="5" t="inlineStr">
        <is>
          <t>11.000,00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=HYPERLINK("https://www.leilaoonline.com.br/lote/detalhe/186594", "9015")</f>
      </c>
      <c r="B92" s="4" t="s">
        <f>=HYPERLINK("https://www.leilaoonline.com.br/lote/detalhe/186594", " TRANSBORDO CIVEMASSA TAC 10501, ANO 2009, FR4445082, LOC. CAARAPÓ ")</f>
      </c>
      <c r="C92" s="4" t="inlineStr">
        <is>
          <t>Não vendido</t>
        </is>
      </c>
      <c r="D92" s="4" t="inlineStr">
        <is>
          <t>2</t>
        </is>
      </c>
      <c r="E92" s="5" t="inlineStr">
        <is>
          <t>11.000,00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=HYPERLINK("https://www.leilaoonline.com.br/lote/detalhe/186600", "9016")</f>
      </c>
      <c r="B93" s="4" t="s">
        <f>=HYPERLINK("https://www.leilaoonline.com.br/lote/detalhe/186600", " TRANSBORDO CIVEMASSA TAC 10500, ANO 2011, FR4445149, LOC. CAARAPÓ ")</f>
      </c>
      <c r="C93" s="4" t="inlineStr">
        <is>
          <t>Não vendido</t>
        </is>
      </c>
      <c r="D93" s="4" t="inlineStr">
        <is>
          <t>4</t>
        </is>
      </c>
      <c r="E93" s="5" t="inlineStr">
        <is>
          <t>11.500,00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=HYPERLINK("https://www.leilaoonline.com.br/lote/detalhe/186608", "9017")</f>
      </c>
      <c r="B94" s="4" t="s">
        <f>=HYPERLINK("https://www.leilaoonline.com.br/lote/detalhe/186608", " TRANSBORDO CIVEMASSA TAC 10500, ANO 2009, FR4445081,  LOC. CAARAPÓ")</f>
      </c>
      <c r="C94" s="4" t="inlineStr">
        <is>
          <t>Vendido</t>
        </is>
      </c>
      <c r="D94" s="4" t="inlineStr">
        <is>
          <t>1</t>
        </is>
      </c>
      <c r="E94" s="5" t="inlineStr">
        <is>
          <t>11.000,00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=HYPERLINK("https://www.leilaoonline.com.br/lote/detalhe/186601", "9018")</f>
      </c>
      <c r="B95" s="4" t="s">
        <f>=HYPERLINK("https://www.leilaoonline.com.br/lote/detalhe/186601", " DISTRIBUIDOR SOLLUS 20.0 CHTD, FR45312, LOC. CAARAPÓ ")</f>
      </c>
      <c r="C95" s="4" t="inlineStr">
        <is>
          <t>Não vendido</t>
        </is>
      </c>
      <c r="D95" s="4" t="inlineStr">
        <is>
          <t>16</t>
        </is>
      </c>
      <c r="E95" s="5" t="inlineStr">
        <is>
          <t>22.000,00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=HYPERLINK("https://www.leilaoonline.com.br/lote/detalhe/186615", "9019")</f>
      </c>
      <c r="B96" s="4" t="s">
        <f>=HYPERLINK("https://www.leilaoonline.com.br/lote/detalhe/186615", " CARRETINHA  DE TUBO, ANO 2017, FR4445289, LOC. CAARAPÓ")</f>
      </c>
      <c r="C96" s="4" t="inlineStr">
        <is>
          <t>Não vendido</t>
        </is>
      </c>
      <c r="D96" s="4" t="inlineStr">
        <is>
          <t>7</t>
        </is>
      </c>
      <c r="E96" s="5" t="inlineStr">
        <is>
          <t>1.900,00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=HYPERLINK("https://www.leilaoonline.com.br/lote/detalhe/186612", "9021")</f>
      </c>
      <c r="B97" s="4" t="s">
        <f>=HYPERLINK("https://www.leilaoonline.com.br/lote/detalhe/186612", " CARRETINHA  DE TUBO, S/FR, LOC. CAARAPÓ")</f>
      </c>
      <c r="C97" s="4" t="inlineStr">
        <is>
          <t>Não vendido</t>
        </is>
      </c>
      <c r="D97" s="4" t="inlineStr">
        <is>
          <t>4</t>
        </is>
      </c>
      <c r="E97" s="5" t="inlineStr">
        <is>
          <t>1.450,00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=HYPERLINK("https://www.leilaoonline.com.br/lote/detalhe/186614", "9022")</f>
      </c>
      <c r="B98" s="4" t="s">
        <f>=HYPERLINK("https://www.leilaoonline.com.br/lote/detalhe/186614", " CARRETINHA  DE TUBO, S/FR, LOC. CAARAPÓ")</f>
      </c>
      <c r="C98" s="4" t="inlineStr">
        <is>
          <t>Não vendido</t>
        </is>
      </c>
      <c r="D98" s="4" t="inlineStr">
        <is>
          <t>4</t>
        </is>
      </c>
      <c r="E98" s="5" t="inlineStr">
        <is>
          <t>1.450,00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=HYPERLINK("https://www.leilaoonline.com.br/lote/detalhe/186511", "9023")</f>
      </c>
      <c r="B99" s="4" t="s">
        <f>=HYPERLINK("https://www.leilaoonline.com.br/lote/detalhe/186511", " CARRETINHA  DE TUBO, ANO 2017. - FR45290. - LOC. CAARAPO")</f>
      </c>
      <c r="C99" s="4" t="inlineStr">
        <is>
          <t>Não vendido</t>
        </is>
      </c>
      <c r="D99" s="4" t="inlineStr">
        <is>
          <t>22</t>
        </is>
      </c>
      <c r="E99" s="5" t="inlineStr">
        <is>
          <t>4.150,00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=HYPERLINK("https://www.leilaoonline.com.br/lote/detalhe/186607", "9025")</f>
      </c>
      <c r="B100" s="4" t="s">
        <f>=HYPERLINK("https://www.leilaoonline.com.br/lote/detalhe/186607", " 2 ENLEIRADEIRAS DE PALHA, FR45298/FR45122, LOC. CAARAPÓ 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2.000,00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=HYPERLINK("https://www.leilaoonline.com.br/lote/detalhe/186509", "9026")</f>
      </c>
      <c r="B101" s="4" t="s">
        <f>=HYPERLINK("https://www.leilaoonline.com.br/lote/detalhe/186509", " 2 ENLEIRADEIRAS DE PALHA. - FR444S121/FR444S160. - LOC. CAARAPO")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2.000,00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=HYPERLINK("https://www.leilaoonline.com.br/lote/detalhe/186506", "9027")</f>
      </c>
      <c r="B102" s="4" t="s">
        <f>=HYPERLINK("https://www.leilaoonline.com.br/lote/detalhe/186506", " 2 ENLEIRADEIRAS DE PALHA. - FR444S295/FR4445123. - LOC. CAARAPO")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2.000,00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=HYPERLINK("https://www.leilaoonline.com.br/lote/detalhe/186596", "9028")</f>
      </c>
      <c r="B103" s="4" t="s">
        <f>=HYPERLINK("https://www.leilaoonline.com.br/lote/detalhe/186596", " 2 ENLEIRADEIRAS DE PALHA, FR45292 ,LOC. CAARAPÓ 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2.000,00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=HYPERLINK("https://www.leilaoonline.com.br/lote/detalhe/186604", "9029")</f>
      </c>
      <c r="B104" s="4" t="s">
        <f>=HYPERLINK("https://www.leilaoonline.com.br/lote/detalhe/186604", " 2 ENLEIRADEIRAS DE PALHA,FR45293, LOC. CAARAPÓ")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2.000,00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=HYPERLINK("https://www.leilaoonline.com.br/lote/detalhe/186510", "9030")</f>
      </c>
      <c r="B105" s="4" t="s">
        <f>=HYPERLINK("https://www.leilaoonline.com.br/lote/detalhe/186510", " 2 ENLEIRADEIRAS DE PALHA. - FR4445300/FR4445158. - LOC. CAARAPO")</f>
      </c>
      <c r="C105" s="4" t="inlineStr">
        <is>
          <t>Vendido</t>
        </is>
      </c>
      <c r="D105" s="4" t="inlineStr">
        <is>
          <t>2</t>
        </is>
      </c>
      <c r="E105" s="5" t="inlineStr">
        <is>
          <t>8.000,00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=HYPERLINK("https://www.leilaoonline.com.br/lote/detalhe/186610", "9031")</f>
      </c>
      <c r="B106" s="4" t="s">
        <f>=HYPERLINK("https://www.leilaoonline.com.br/lote/detalhe/186610", " 2 COBRIDORES, FR045032/45006, LOC. CAARAPÓ")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2.000,00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=HYPERLINK("https://www.leilaoonline.com.br/lote/detalhe/186613", "9032")</f>
      </c>
      <c r="B107" s="4" t="s">
        <f>=HYPERLINK("https://www.leilaoonline.com.br/lote/detalhe/186613", " PLAINA ROBUST 480, FR45013, LOC.CAARAPÓ ")</f>
      </c>
      <c r="C107" s="4" t="inlineStr">
        <is>
          <t>Vendido</t>
        </is>
      </c>
      <c r="D107" s="4" t="inlineStr">
        <is>
          <t>137</t>
        </is>
      </c>
      <c r="E107" s="5" t="inlineStr">
        <is>
          <t>65.000,00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=HYPERLINK("https://www.leilaoonline.com.br/lote/detalhe/186605", "9034")</f>
      </c>
      <c r="B108" s="4" t="s">
        <f>=HYPERLINK("https://www.leilaoonline.com.br/lote/detalhe/186605", " GRADE 28 DISCOS, FR45000, LOC.CAARAPÓ")</f>
      </c>
      <c r="C108" s="4" t="inlineStr">
        <is>
          <t>Vendido</t>
        </is>
      </c>
      <c r="D108" s="4" t="inlineStr">
        <is>
          <t>39</t>
        </is>
      </c>
      <c r="E108" s="5" t="inlineStr">
        <is>
          <t>21.250,00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=HYPERLINK("https://www.leilaoonline.com.br/lote/detalhe/186599", "9037")</f>
      </c>
      <c r="B109" s="4" t="s">
        <f>=HYPERLINK("https://www.leilaoonline.com.br/lote/detalhe/186599", " GRADE 28 DISCOS, FR45183, LOC.CAARAPÓ")</f>
      </c>
      <c r="C109" s="4" t="inlineStr">
        <is>
          <t>Vendido</t>
        </is>
      </c>
      <c r="D109" s="4" t="inlineStr">
        <is>
          <t>1</t>
        </is>
      </c>
      <c r="E109" s="5" t="inlineStr">
        <is>
          <t>3.500,00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=HYPERLINK("https://www.leilaoonline.com.br/lote/detalhe/186507", "9038")</f>
      </c>
      <c r="B110" s="4" t="s">
        <f>=HYPERLINK("https://www.leilaoonline.com.br/lote/detalhe/186507", " GRADE GIGANTE, ANO 2010. - FR45101. - LOC. CAARAPO")</f>
      </c>
      <c r="C110" s="4" t="inlineStr">
        <is>
          <t>Vendido</t>
        </is>
      </c>
      <c r="D110" s="4" t="inlineStr">
        <is>
          <t>1</t>
        </is>
      </c>
      <c r="E110" s="5" t="inlineStr">
        <is>
          <t>3.000,00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=HYPERLINK("https://www.leilaoonline.com.br/lote/detalhe/186602", "9039")</f>
      </c>
      <c r="B111" s="4" t="s">
        <f>=HYPERLINK("https://www.leilaoonline.com.br/lote/detalhe/186602", " GRADE GIGANTE, FR45102,LOC. CAARAPÓ ")</f>
      </c>
      <c r="C111" s="4" t="inlineStr">
        <is>
          <t>Vendido</t>
        </is>
      </c>
      <c r="D111" s="4" t="inlineStr">
        <is>
          <t>41</t>
        </is>
      </c>
      <c r="E111" s="5" t="inlineStr">
        <is>
          <t>20.400,00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=HYPERLINK("https://www.leilaoonline.com.br/lote/detalhe/187741", "9040")</f>
      </c>
      <c r="B112" s="4" t="s">
        <f>=HYPERLINK("https://www.leilaoonline.com.br/lote/detalhe/187741", "Aproximadamente 6 toneladas de Sucata de tubo de alumínio - (venda por KG) - Loc. Caarapó")</f>
      </c>
      <c r="C112" s="4" t="inlineStr">
        <is>
          <t>Não vendido</t>
        </is>
      </c>
      <c r="D112" s="4" t="inlineStr">
        <is>
          <t>29</t>
        </is>
      </c>
      <c r="E112" s="5" t="inlineStr">
        <is>
          <t>27.600,00</t>
        </is>
      </c>
      <c r="F112" s="4" t="inlineStr">
        <is>
          <t>0.10</t>
        </is>
      </c>
    </row>
    <row collapsed="false" customFormat="false" customHeight="false" hidden="false" ht="12.1" outlineLevel="0" r="113">
      <c r="A113" s="5" t="s">
        <f>=HYPERLINK("https://www.leilaoonline.com.br/lote/detalhe/186523", "11269")</f>
      </c>
      <c r="B113" s="4" t="s">
        <f>=HYPERLINK("https://www.leilaoonline.com.br/lote/detalhe/186523", " PLANT. CANA ATA PCP 1102, ANO 2012, FR92830, LOC. JUNQUEIRA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10.000,00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=HYPERLINK("https://www.leilaoonline.com.br/lote/detalhe/186520", "11467")</f>
      </c>
      <c r="B114" s="4" t="s">
        <f>=HYPERLINK("https://www.leilaoonline.com.br/lote/detalhe/186520", " PLANT.CANA AUTOMÁTICA DMB, ANO 2007, FR361016, LOC. BONFIM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10.000,00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=HYPERLINK("https://www.leilaoonline.com.br/lote/detalhe/186473", "11468")</f>
      </c>
      <c r="B115" s="4" t="s">
        <f>=HYPERLINK("https://www.leilaoonline.com.br/lote/detalhe/186473", " PLANT. CANA AUTOMÁTICA DMB, ANO 2007. - FR361012. - LOC. BONFIM")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10.000,00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=HYPERLINK("https://www.leilaoonline.com.br/lote/detalhe/186496", "12020")</f>
      </c>
      <c r="B116" s="4" t="s">
        <f>=HYPERLINK("https://www.leilaoonline.com.br/lote/detalhe/186496", " CARRETA TANQUE 5000LITROS, ANO 2011. - FR122329. - LOC. JUNQUEIRA")</f>
      </c>
      <c r="C116" s="4" t="inlineStr">
        <is>
          <t>Não vendido</t>
        </is>
      </c>
      <c r="D116" s="4" t="inlineStr">
        <is>
          <t>3</t>
        </is>
      </c>
      <c r="E116" s="5" t="inlineStr">
        <is>
          <t>3.200,00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=HYPERLINK("https://www.leilaoonline.com.br/lote/detalhe/186492", "12021")</f>
      </c>
      <c r="B117" s="4" t="s">
        <f>=HYPERLINK("https://www.leilaoonline.com.br/lote/detalhe/186492", " PLANTADORA CANA ATA PCP 1102, ANO 2012. - FR92829. - LOC. JUNQUEIRA")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10.000,00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=HYPERLINK("https://www.leilaoonline.com.br/lote/detalhe/186488", "12061")</f>
      </c>
      <c r="B118" s="4" t="s">
        <f>=HYPERLINK("https://www.leilaoonline.com.br/lote/detalhe/186488", " SUBSOLADOR DE ARRASTO STAC 7 HASTE CIVEMASA 2PNEU, ANO 2013. - FR1003156. - LOC. SANTA ELISA")</f>
      </c>
      <c r="C118" s="4" t="inlineStr">
        <is>
          <t>Não vendido</t>
        </is>
      </c>
      <c r="D118" s="4" t="inlineStr">
        <is>
          <t>1</t>
        </is>
      </c>
      <c r="E118" s="5" t="inlineStr">
        <is>
          <t>5.000,00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=HYPERLINK("https://www.leilaoonline.com.br/lote/detalhe/186491", "12081")</f>
      </c>
      <c r="B119" s="4" t="s">
        <f>=HYPERLINK("https://www.leilaoonline.com.br/lote/detalhe/186491", " PLANTADORA CANA DMB PCP 6000, ANO 2010. - FR13003120. - LOC. MB")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10.000,00</t>
        </is>
      </c>
      <c r="F119" s="4" t="inlineStr">
        <is>
          <t>1000.00</t>
        </is>
      </c>
    </row>
    <row collapsed="false" customFormat="false" customHeight="false" hidden="false" ht="12.1" outlineLevel="0" r="120">
      <c r="A120" s="5" t="s">
        <f>=HYPERLINK("https://www.leilaoonline.com.br/lote/detalhe/186468", "16469")</f>
      </c>
      <c r="B120" s="4" t="s">
        <f>=HYPERLINK("https://www.leilaoonline.com.br/lote/detalhe/186468", " CAMINHÃO MERCEDES BENZ AXOR 3344S 6X4, ANO 2014/2014; BRANCO. - FR362091. - LOC. BENALCOOL")</f>
      </c>
      <c r="C120" s="4" t="inlineStr">
        <is>
          <t>Não vendido</t>
        </is>
      </c>
      <c r="D120" s="4" t="inlineStr">
        <is>
          <t>29</t>
        </is>
      </c>
      <c r="E120" s="5" t="inlineStr">
        <is>
          <t>63.000,00</t>
        </is>
      </c>
      <c r="F120" s="4" t="inlineStr">
        <is>
          <t>1000.00</t>
        </is>
      </c>
    </row>
    <row collapsed="false" customFormat="false" customHeight="false" hidden="false" ht="12.1" outlineLevel="0" r="121">
      <c r="A121" s="5" t="s">
        <f>=HYPERLINK("https://www.leilaoonline.com.br/lote/detalhe/186465", "16572")</f>
      </c>
      <c r="B121" s="4" t="s">
        <f>=HYPERLINK("https://www.leilaoonline.com.br/lote/detalhe/186465", " TRANSBORDO SANTAL 12T, ANO 2008. - FR88774. - BENALCOOL")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10.000,00</t>
        </is>
      </c>
      <c r="F121" s="4" t="inlineStr">
        <is>
          <t>1000.00</t>
        </is>
      </c>
    </row>
    <row collapsed="false" customFormat="false" customHeight="false" hidden="false" ht="12.1" outlineLevel="0" r="122">
      <c r="A122" s="5" t="s">
        <f>=HYPERLINK("https://www.leilaoonline.com.br/lote/detalhe/187138", "16593")</f>
      </c>
      <c r="B122" s="4" t="s">
        <f>=HYPERLINK("https://www.leilaoonline.com.br/lote/detalhe/187138", " TRATOR VALTRA BH 210, FR91392,ANO 2013,  LOC. UNIVALEM ")</f>
      </c>
      <c r="C122" s="4" t="inlineStr">
        <is>
          <t>Vendido</t>
        </is>
      </c>
      <c r="D122" s="4" t="inlineStr">
        <is>
          <t>82</t>
        </is>
      </c>
      <c r="E122" s="5" t="inlineStr">
        <is>
          <t>122.000,00</t>
        </is>
      </c>
      <c r="F122" s="4" t="inlineStr">
        <is>
          <t>1000.00</t>
        </is>
      </c>
    </row>
    <row collapsed="false" customFormat="false" customHeight="false" hidden="false" ht="12.1" outlineLevel="0" r="123">
      <c r="A123" s="5" t="s">
        <f>=HYPERLINK("https://www.leilaoonline.com.br/lote/detalhe/186457", "17331")</f>
      </c>
      <c r="B123" s="4" t="s">
        <f>=HYPERLINK("https://www.leilaoonline.com.br/lote/detalhe/186457", " CAR.FARDO DE PALHA M12010, ANO 2012. - FR48309. - LOC. IPAUSSU")</f>
      </c>
      <c r="C123" s="4" t="inlineStr">
        <is>
          <t>Não vendido</t>
        </is>
      </c>
      <c r="D123" s="4" t="inlineStr">
        <is>
          <t>13</t>
        </is>
      </c>
      <c r="E123" s="5" t="inlineStr">
        <is>
          <t>16.000,00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=HYPERLINK("https://www.leilaoonline.com.br/lote/detalhe/186469", "17332")</f>
      </c>
      <c r="B124" s="4" t="s">
        <f>=HYPERLINK("https://www.leilaoonline.com.br/lote/detalhe/186469", " CAR.FARDO DE PALHA M12010, ANO 2015. - FR48311. - LOC. IPAUSSU")</f>
      </c>
      <c r="C124" s="4" t="inlineStr">
        <is>
          <t>Não vendido</t>
        </is>
      </c>
      <c r="D124" s="4" t="inlineStr">
        <is>
          <t>10</t>
        </is>
      </c>
      <c r="E124" s="5" t="inlineStr">
        <is>
          <t>15.000,00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=HYPERLINK("https://www.leilaoonline.com.br/lote/detalhe/186470", "17334")</f>
      </c>
      <c r="B125" s="4" t="s">
        <f>=HYPERLINK("https://www.leilaoonline.com.br/lote/detalhe/186470", " PULV. DE INJEÇÃO NO SOLO , ANO 2018. - FR48282. - LOC. IPAUSSU")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2.500,00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=HYPERLINK("https://www.leilaoonline.com.br/lote/detalhe/186541", "17343")</f>
      </c>
      <c r="B126" s="4" t="s">
        <f>=HYPERLINK("https://www.leilaoonline.com.br/lote/detalhe/186541", " SEMI - Reboque  Randon SRCA CA 12,50 M, ANO 2012/2012, AZUL. - FR.46921. - LOC. IPAUSSU/SP")</f>
      </c>
      <c r="C126" s="4" t="inlineStr">
        <is>
          <t>Não vendido</t>
        </is>
      </c>
      <c r="D126" s="4" t="inlineStr">
        <is>
          <t>1</t>
        </is>
      </c>
      <c r="E126" s="5" t="inlineStr">
        <is>
          <t>35.000,00</t>
        </is>
      </c>
      <c r="F126" s="4" t="inlineStr">
        <is>
          <t>1000.00</t>
        </is>
      </c>
    </row>
    <row collapsed="false" customFormat="false" customHeight="false" hidden="false" ht="12.1" outlineLevel="0" r="127">
      <c r="A127" s="5" t="s">
        <f>=HYPERLINK("https://www.leilaoonline.com.br/lote/detalhe/186540", "17347")</f>
      </c>
      <c r="B127" s="4" t="s">
        <f>=HYPERLINK("https://www.leilaoonline.com.br/lote/detalhe/186540", " Reboque  Randon RQ CA 12,50 M, ANO 2012/2013, CINZA. - FR.70838. OBS. ( (SINISTRO DE MEDIA MONTA)  - LOC. IPAUSSU/SP ")</f>
      </c>
      <c r="C127" s="4" t="inlineStr">
        <is>
          <t>Vendido</t>
        </is>
      </c>
      <c r="D127" s="4" t="inlineStr">
        <is>
          <t>1</t>
        </is>
      </c>
      <c r="E127" s="5" t="inlineStr">
        <is>
          <t>35.000,00</t>
        </is>
      </c>
      <c r="F127" s="4" t="inlineStr">
        <is>
          <t>1000.00</t>
        </is>
      </c>
    </row>
    <row collapsed="false" customFormat="false" customHeight="false" hidden="false" ht="12.1" outlineLevel="0" r="128">
      <c r="A128" s="5" t="s">
        <f>=HYPERLINK("https://www.leilaoonline.com.br/lote/detalhe/186542", "17350")</f>
      </c>
      <c r="B128" s="4" t="s">
        <f>=HYPERLINK("https://www.leilaoonline.com.br/lote/detalhe/186542", " Reboque  Randon RQ CA 12,50 M, ANO 2010/2010, AZUL. - FR.46891. ( SINISTRADO/RECUPERADO)  - LOC. IPAUSSU/SP ")</f>
      </c>
      <c r="C128" s="4" t="inlineStr">
        <is>
          <t>Vendido</t>
        </is>
      </c>
      <c r="D128" s="4" t="inlineStr">
        <is>
          <t>3</t>
        </is>
      </c>
      <c r="E128" s="5" t="inlineStr">
        <is>
          <t>27.000,00</t>
        </is>
      </c>
      <c r="F128" s="4" t="inlineStr">
        <is>
          <t>1000.00</t>
        </is>
      </c>
    </row>
    <row collapsed="false" customFormat="false" customHeight="false" hidden="false" ht="12.1" outlineLevel="0" r="129">
      <c r="A129" s="5" t="s">
        <f>=HYPERLINK("https://www.leilaoonline.com.br/lote/detalhe/186549", "17352")</f>
      </c>
      <c r="B129" s="4" t="s">
        <f>=HYPERLINK("https://www.leilaoonline.com.br/lote/detalhe/186549", " CAMINHÃO VW/31.320 CNC 6X4, ANO 2010/2010, BRANCA, FR91235, LOC. DESTIVALE ")</f>
      </c>
      <c r="C129" s="4" t="inlineStr">
        <is>
          <t>Vendido</t>
        </is>
      </c>
      <c r="D129" s="4" t="inlineStr">
        <is>
          <t>61</t>
        </is>
      </c>
      <c r="E129" s="5" t="inlineStr">
        <is>
          <t>100.000,00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=HYPERLINK("https://www.leilaoonline.com.br/lote/detalhe/186458", "17353")</f>
      </c>
      <c r="B130" s="4" t="s">
        <f>=HYPERLINK("https://www.leilaoonline.com.br/lote/detalhe/186458", " CAMINHÃO VOLKSWAGEN 31.330 BMB CRC CM, ANO 2012/2012, BRANCO. - FR91247. - DESTIVALE")</f>
      </c>
      <c r="C130" s="4" t="inlineStr">
        <is>
          <t>Vendido</t>
        </is>
      </c>
      <c r="D130" s="4" t="inlineStr">
        <is>
          <t>69</t>
        </is>
      </c>
      <c r="E130" s="5" t="inlineStr">
        <is>
          <t>151.000,00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=HYPERLINK("https://www.leilaoonline.com.br/lote/detalhe/186545", "17362")</f>
      </c>
      <c r="B131" s="4" t="s">
        <f>=HYPERLINK("https://www.leilaoonline.com.br/lote/detalhe/186545", " CAMINHAO VW/31.320  CNC 6X4, ANO 2011/2012, BRANCA, FR81302,  CAR. TRANSB., LOC. BENALCCOL ")</f>
      </c>
      <c r="C131" s="4" t="inlineStr">
        <is>
          <t>Vendido</t>
        </is>
      </c>
      <c r="D131" s="4" t="inlineStr">
        <is>
          <t>121</t>
        </is>
      </c>
      <c r="E131" s="5" t="inlineStr">
        <is>
          <t>172.000,00</t>
        </is>
      </c>
      <c r="F131" s="4" t="inlineStr">
        <is>
          <t>2000.00</t>
        </is>
      </c>
    </row>
    <row collapsed="false" customFormat="false" customHeight="false" hidden="false" ht="12.1" outlineLevel="0" r="132">
      <c r="A132" s="5" t="s">
        <f>=HYPERLINK("https://www.leilaoonline.com.br/lote/detalhe/186462", "17363")</f>
      </c>
      <c r="B132" s="4" t="s">
        <f>=HYPERLINK("https://www.leilaoonline.com.br/lote/detalhe/186462", " ÔNIBUS MERCEDES BENZ OF1315, ANO 1992/1992; BEGE. - FR81353. - LOC. BENALCOOL")</f>
      </c>
      <c r="C132" s="4" t="inlineStr">
        <is>
          <t>Não vendido</t>
        </is>
      </c>
      <c r="D132" s="4" t="inlineStr">
        <is>
          <t>11</t>
        </is>
      </c>
      <c r="E132" s="5" t="inlineStr">
        <is>
          <t>17.000,00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=HYPERLINK("https://www.leilaoonline.com.br/lote/detalhe/186459", "17364")</f>
      </c>
      <c r="B133" s="4" t="s">
        <f>=HYPERLINK("https://www.leilaoonline.com.br/lote/detalhe/186459", " CARRETA TORTA DE FILTRO, ANO 2006. - FR112754. - LOC. BENALCOOL")</f>
      </c>
      <c r="C133" s="4" t="inlineStr">
        <is>
          <t>Vendido</t>
        </is>
      </c>
      <c r="D133" s="4" t="inlineStr">
        <is>
          <t>6</t>
        </is>
      </c>
      <c r="E133" s="5" t="inlineStr">
        <is>
          <t>2.200,00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=HYPERLINK("https://www.leilaoonline.com.br/lote/detalhe/186548", "17365")</f>
      </c>
      <c r="B134" s="4" t="s">
        <f>=HYPERLINK("https://www.leilaoonline.com.br/lote/detalhe/186548", " CAMINHAO SCANIA/R113 E 6X4 360, ANO 1995/1995, BRANCA, FR173609, LOC. BENALCOOL ")</f>
      </c>
      <c r="C134" s="4" t="inlineStr">
        <is>
          <t>Não vendido</t>
        </is>
      </c>
      <c r="D134" s="4" t="inlineStr">
        <is>
          <t>26</t>
        </is>
      </c>
      <c r="E134" s="5" t="inlineStr">
        <is>
          <t>40.000,00</t>
        </is>
      </c>
      <c r="F134" s="4" t="inlineStr">
        <is>
          <t>1000.00</t>
        </is>
      </c>
    </row>
    <row collapsed="false" customFormat="false" customHeight="false" hidden="false" ht="12.1" outlineLevel="0" r="135">
      <c r="A135" s="5" t="s">
        <f>=HYPERLINK("https://www.leilaoonline.com.br/lote/detalhe/186466", "17368")</f>
      </c>
      <c r="B135" s="4" t="s">
        <f>=HYPERLINK("https://www.leilaoonline.com.br/lote/detalhe/186466", " TRANSBORDO SANTAL 12T; ANO 2014. - FR91293. - LOC. MUNDIAL")</f>
      </c>
      <c r="C135" s="4" t="inlineStr">
        <is>
          <t>Não vendido</t>
        </is>
      </c>
      <c r="D135" s="4" t="inlineStr">
        <is>
          <t>1</t>
        </is>
      </c>
      <c r="E135" s="5" t="inlineStr">
        <is>
          <t>10.000,00</t>
        </is>
      </c>
      <c r="F135" s="4" t="inlineStr">
        <is>
          <t>1000.00</t>
        </is>
      </c>
    </row>
    <row collapsed="false" customFormat="false" customHeight="false" hidden="false" ht="12.1" outlineLevel="0" r="136">
      <c r="A136" s="5" t="s">
        <f>=HYPERLINK("https://www.leilaoonline.com.br/lote/detalhe/186463", "20581")</f>
      </c>
      <c r="B136" s="4" t="s">
        <f>=HYPERLINK("https://www.leilaoonline.com.br/lote/detalhe/186463", " ENXADA HOWARD ENGUNERING LIMITED ROTATIVA; ANO 2013. - FR57323. - LOC. BOM RETIRO")</f>
      </c>
      <c r="C136" s="4" t="inlineStr">
        <is>
          <t>Não vendido</t>
        </is>
      </c>
      <c r="D136" s="4" t="inlineStr">
        <is>
          <t>9</t>
        </is>
      </c>
      <c r="E136" s="5" t="inlineStr">
        <is>
          <t>5.000,00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=HYPERLINK("https://www.leilaoonline.com.br/lote/detalhe/186460", "20606")</f>
      </c>
      <c r="B137" s="4" t="s">
        <f>=HYPERLINK("https://www.leilaoonline.com.br/lote/detalhe/186460", " CARRETA ESPARRAMADORA CALCAREO SOLLUS; ANO 2011. - FR25307. - LOC. BOM RETIRO")</f>
      </c>
      <c r="C137" s="4" t="inlineStr">
        <is>
          <t>Não vendido</t>
        </is>
      </c>
      <c r="D137" s="4" t="inlineStr">
        <is>
          <t>2</t>
        </is>
      </c>
      <c r="E137" s="5" t="inlineStr">
        <is>
          <t>3.250,00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=HYPERLINK("https://www.leilaoonline.com.br/lote/detalhe/186518", "20628")</f>
      </c>
      <c r="B138" s="4" t="s">
        <f>=HYPERLINK("https://www.leilaoonline.com.br/lote/detalhe/186518", " REBOQUE RANDONSP RQ CA, ANO 2010/2010, AZUL, 4E 12,5M TOMBO DIREITO, FR139928, LOC. BOM RETIRO ")</f>
      </c>
      <c r="C138" s="4" t="inlineStr">
        <is>
          <t>Não vendido</t>
        </is>
      </c>
      <c r="D138" s="4" t="inlineStr">
        <is>
          <t>1</t>
        </is>
      </c>
      <c r="E138" s="5" t="inlineStr">
        <is>
          <t>25.000,00</t>
        </is>
      </c>
      <c r="F138" s="4" t="inlineStr">
        <is>
          <t>1000.00</t>
        </is>
      </c>
    </row>
    <row collapsed="false" customFormat="false" customHeight="false" hidden="false" ht="12.1" outlineLevel="0" r="139">
      <c r="A139" s="5" t="s">
        <f>=HYPERLINK("https://www.leilaoonline.com.br/lote/detalhe/186467", "20640")</f>
      </c>
      <c r="B139" s="4" t="s">
        <f>=HYPERLINK("https://www.leilaoonline.com.br/lote/detalhe/186467", " CARRETINHA DE SERVIÇO GERAIS. - LOC. BOM RETIRO")</f>
      </c>
      <c r="C139" s="4" t="inlineStr">
        <is>
          <t>Não vendido</t>
        </is>
      </c>
      <c r="D139" s="4" t="inlineStr">
        <is>
          <t>1</t>
        </is>
      </c>
      <c r="E139" s="5" t="inlineStr">
        <is>
          <t>1.500,00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=HYPERLINK("https://www.leilaoonline.com.br/lote/detalhe/186471", "20647")</f>
      </c>
      <c r="B140" s="4" t="s">
        <f>=HYPERLINK("https://www.leilaoonline.com.br/lote/detalhe/186471", " TRITURADOR CANA TRC VICON; ANO 2013. - FR25280. - LOC. BOM RETIRO")</f>
      </c>
      <c r="C140" s="4" t="inlineStr">
        <is>
          <t>Não vendido</t>
        </is>
      </c>
      <c r="D140" s="4" t="inlineStr">
        <is>
          <t>6</t>
        </is>
      </c>
      <c r="E140" s="5" t="inlineStr">
        <is>
          <t>4.250,00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=HYPERLINK("https://www.leilaoonline.com.br/lote/detalhe/186461", "20649")</f>
      </c>
      <c r="B141" s="4" t="s">
        <f>=HYPERLINK("https://www.leilaoonline.com.br/lote/detalhe/186461", " CARRETA DE TRANSPORTE TUBOS RAESA; ANO 2006. - FR139957. - BOM RETIRO")</f>
      </c>
      <c r="C141" s="4" t="inlineStr">
        <is>
          <t>Vendido</t>
        </is>
      </c>
      <c r="D141" s="4" t="inlineStr">
        <is>
          <t>3</t>
        </is>
      </c>
      <c r="E141" s="5" t="inlineStr">
        <is>
          <t>1.300,00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=HYPERLINK("https://www.leilaoonline.com.br/lote/detalhe/186856", "20663")</f>
      </c>
      <c r="B142" s="4" t="s">
        <f>=HYPERLINK("https://www.leilaoonline.com.br/lote/detalhe/186856", " SEMI-REBOQUE RANDON SR CA, ANO 2007/2007, AZUL, 11,80M CANA INTEIRA TOMBO DIREITO, FR56255, LOC. BOM RETIRO ")</f>
      </c>
      <c r="C142" s="4" t="inlineStr">
        <is>
          <t>Não vendido</t>
        </is>
      </c>
      <c r="D142" s="4" t="inlineStr">
        <is>
          <t>1</t>
        </is>
      </c>
      <c r="E142" s="5" t="inlineStr">
        <is>
          <t>20.000,00</t>
        </is>
      </c>
      <c r="F142" s="4" t="inlineStr">
        <is>
          <t>1000.00</t>
        </is>
      </c>
    </row>
    <row collapsed="false" customFormat="false" customHeight="false" hidden="false" ht="12.1" outlineLevel="0" r="143">
      <c r="A143" s="5" t="s">
        <f>=HYPERLINK("https://www.leilaoonline.com.br/lote/detalhe/186848", "20664")</f>
      </c>
      <c r="B143" s="4" t="s">
        <f>=HYPERLINK("https://www.leilaoonline.com.br/lote/detalhe/186848", " SEMI-REBOQUE RANDON SR CA, ANO 2007/2007, AZUL, 11,80M CANA INTEIRA TOMBO DIREITO, FR66145, LOC. BOM RETIRO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20.000,00</t>
        </is>
      </c>
      <c r="F143" s="4" t="inlineStr">
        <is>
          <t>1000.00</t>
        </is>
      </c>
    </row>
    <row collapsed="false" customFormat="false" customHeight="false" hidden="false" ht="12.1" outlineLevel="0" r="144">
      <c r="A144" s="5" t="s">
        <f>=HYPERLINK("https://www.leilaoonline.com.br/lote/detalhe/186519", "20685")</f>
      </c>
      <c r="B144" s="4" t="s">
        <f>=HYPERLINK("https://www.leilaoonline.com.br/lote/detalhe/186519", " SEMI-REBOQUE RANDON SRCA CA, ANO 2008/2008, AZUL, 12,50M - TOMBO DIREITO(REMARCAÇÃO DE CHASSI) (FALTANDO EIXOS E MOLAS), FR56275,LOC. BOM RETIRO ")</f>
      </c>
      <c r="C144" s="4" t="inlineStr">
        <is>
          <t>Não vendido</t>
        </is>
      </c>
      <c r="D144" s="4" t="inlineStr">
        <is>
          <t>1</t>
        </is>
      </c>
      <c r="E144" s="5" t="inlineStr">
        <is>
          <t>20.000,00</t>
        </is>
      </c>
      <c r="F144" s="4" t="inlineStr">
        <is>
          <t>1000.00</t>
        </is>
      </c>
    </row>
    <row collapsed="false" customFormat="false" customHeight="false" hidden="false" ht="12.1" outlineLevel="0" r="145">
      <c r="A145" s="5" t="s">
        <f>=HYPERLINK("https://www.leilaoonline.com.br/lote/detalhe/186854", "20690")</f>
      </c>
      <c r="B145" s="4" t="s">
        <f>=HYPERLINK("https://www.leilaoonline.com.br/lote/detalhe/186854", " TRATOR CASE PUMA 200 4x4 QUEIMADO, ANO 2016, FR7002042, LOC. LEME ")</f>
      </c>
      <c r="C145" s="4" t="inlineStr">
        <is>
          <t>Não vendido</t>
        </is>
      </c>
      <c r="D145" s="4" t="inlineStr">
        <is>
          <t>72</t>
        </is>
      </c>
      <c r="E145" s="5" t="inlineStr">
        <is>
          <t>53.500,00</t>
        </is>
      </c>
      <c r="F145" s="4" t="inlineStr">
        <is>
          <t>1000.00</t>
        </is>
      </c>
    </row>
    <row collapsed="false" customFormat="false" customHeight="false" hidden="false" ht="12.1" outlineLevel="0" r="146">
      <c r="A146" s="5" t="s">
        <f>=HYPERLINK("https://www.leilaoonline.com.br/lote/detalhe/186521", "20694")</f>
      </c>
      <c r="B146" s="4" t="s">
        <f>=HYPERLINK("https://www.leilaoonline.com.br/lote/detalhe/186521", " REBOQUE RANDON RQ CA, 4E 12,5M TOMBO DIREITO, ANO 2010/2011, AZUL, FR66183, (FALTANDO EIXOS E MOLAS), LOC. BOM RETIRO ")</f>
      </c>
      <c r="C146" s="4" t="inlineStr">
        <is>
          <t>Não vendido</t>
        </is>
      </c>
      <c r="D146" s="4" t="inlineStr">
        <is>
          <t>1</t>
        </is>
      </c>
      <c r="E146" s="5" t="inlineStr">
        <is>
          <t>20.000,00</t>
        </is>
      </c>
      <c r="F146" s="4" t="inlineStr">
        <is>
          <t>1000.00</t>
        </is>
      </c>
    </row>
    <row collapsed="false" customFormat="false" customHeight="false" hidden="false" ht="12.1" outlineLevel="0" r="147">
      <c r="A147" s="5" t="s">
        <f>=HYPERLINK("https://www.leilaoonline.com.br/lote/detalhe/186538", "30058")</f>
      </c>
      <c r="B147" s="4" t="s">
        <f>=HYPERLINK("https://www.leilaoonline.com.br/lote/detalhe/186538", " CAMINHÃO VW/26.220 EURO3 WORKER, ANO 2010/2010, BRANCA, FR52490, LOC. SANTA HELENA ")</f>
      </c>
      <c r="C147" s="4" t="inlineStr">
        <is>
          <t>Não vendido</t>
        </is>
      </c>
      <c r="D147" s="4" t="inlineStr">
        <is>
          <t>59</t>
        </is>
      </c>
      <c r="E147" s="5" t="inlineStr">
        <is>
          <t>83.000,00</t>
        </is>
      </c>
      <c r="F147" s="4" t="inlineStr">
        <is>
          <t>1000.00</t>
        </is>
      </c>
    </row>
    <row collapsed="false" customFormat="false" customHeight="false" hidden="false" ht="12.1" outlineLevel="0" r="148">
      <c r="A148" s="5" t="s">
        <f>=HYPERLINK("https://www.leilaoonline.com.br/lote/detalhe/186472", "30087")</f>
      </c>
      <c r="B148" s="4" t="s">
        <f>=HYPERLINK("https://www.leilaoonline.com.br/lote/detalhe/186472", " ELIMINADOR DE SOQUEIRA, ANO 2018. - FR140065. - RAFARD")</f>
      </c>
      <c r="C148" s="4" t="inlineStr">
        <is>
          <t>Não vendido</t>
        </is>
      </c>
      <c r="D148" s="4" t="inlineStr">
        <is>
          <t>2</t>
        </is>
      </c>
      <c r="E148" s="5" t="inlineStr">
        <is>
          <t>8.000,00</t>
        </is>
      </c>
      <c r="F148" s="4" t="inlineStr">
        <is>
          <t>150.00</t>
        </is>
      </c>
    </row>
    <row collapsed="false" customFormat="false" customHeight="false" hidden="false" ht="12.1" outlineLevel="0" r="149">
      <c r="A149" s="5" t="s">
        <f>=HYPERLINK("https://www.leilaoonline.com.br/lote/detalhe/186621", "31001")</f>
      </c>
      <c r="B149" s="4" t="s">
        <f>=HYPERLINK("https://www.leilaoonline.com.br/lote/detalhe/186621", " CARRETA TANQUE AÇO, PAT.285054, LOC. CONTINENTAL ")</f>
      </c>
      <c r="C149" s="4" t="inlineStr">
        <is>
          <t>Vendido</t>
        </is>
      </c>
      <c r="D149" s="4" t="inlineStr">
        <is>
          <t>14</t>
        </is>
      </c>
      <c r="E149" s="5" t="inlineStr">
        <is>
          <t>11.500,00</t>
        </is>
      </c>
      <c r="F149" s="4" t="inlineStr">
        <is>
          <t>500.00</t>
        </is>
      </c>
    </row>
    <row collapsed="false" customFormat="false" customHeight="false" hidden="false" ht="12.1" outlineLevel="0" r="150">
      <c r="A150" s="5" t="s">
        <f>=HYPERLINK("https://www.leilaoonline.com.br/lote/detalhe/186622", "31003")</f>
      </c>
      <c r="B150" s="4" t="s">
        <f>=HYPERLINK("https://www.leilaoonline.com.br/lote/detalhe/186622", " GRADE 14 DISCOS, FR10003194, LOC. CONTINENTAL ")</f>
      </c>
      <c r="C150" s="4" t="inlineStr">
        <is>
          <t>Vendido</t>
        </is>
      </c>
      <c r="D150" s="4" t="inlineStr">
        <is>
          <t>80</t>
        </is>
      </c>
      <c r="E150" s="5" t="inlineStr">
        <is>
          <t>48.500,00</t>
        </is>
      </c>
      <c r="F150" s="4" t="inlineStr">
        <is>
          <t>1000.00</t>
        </is>
      </c>
    </row>
    <row collapsed="false" customFormat="false" customHeight="false" hidden="false" ht="12.1" outlineLevel="0" r="151">
      <c r="A151" s="5" t="s">
        <f>=HYPERLINK("https://www.leilaoonline.com.br/lote/detalhe/186624", "31005")</f>
      </c>
      <c r="B151" s="4" t="s">
        <f>=HYPERLINK("https://www.leilaoonline.com.br/lote/detalhe/186624", " CAMINHÃO VW/26.220, ANO 2005/2005, BRANCA, FR10001004, LOC. CONTINENTAL ")</f>
      </c>
      <c r="C151" s="4" t="inlineStr">
        <is>
          <t>Não vendido</t>
        </is>
      </c>
      <c r="D151" s="4" t="inlineStr">
        <is>
          <t>20</t>
        </is>
      </c>
      <c r="E151" s="5" t="inlineStr">
        <is>
          <t>44.000,00</t>
        </is>
      </c>
      <c r="F151" s="4" t="inlineStr">
        <is>
          <t>1000.00</t>
        </is>
      </c>
    </row>
    <row collapsed="false" customFormat="false" customHeight="false" hidden="false" ht="12.1" outlineLevel="0" r="152">
      <c r="A152" s="5" t="s">
        <f>=HYPERLINK("https://www.leilaoonline.com.br/lote/detalhe/186633", "31018")</f>
      </c>
      <c r="B152" s="4" t="s">
        <f>=HYPERLINK("https://www.leilaoonline.com.br/lote/detalhe/186633", " SR/RANDON SR CA,ANO 2002/2003,AZUL, FR10004077, LOC. CONTINENTAL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15.000,00</t>
        </is>
      </c>
      <c r="F152" s="4" t="inlineStr">
        <is>
          <t>1000.00</t>
        </is>
      </c>
    </row>
    <row collapsed="false" customFormat="false" customHeight="false" hidden="false" ht="12.1" outlineLevel="0" r="153">
      <c r="A153" s="5" t="s">
        <f>=HYPERLINK("https://www.leilaoonline.com.br/lote/detalhe/186620", "31019")</f>
      </c>
      <c r="B153" s="4" t="s">
        <f>=HYPERLINK("https://www.leilaoonline.com.br/lote/detalhe/186620", " SR/RANDON SR CA, ANO 2002/2003, AZUL, FR10004075, LOC. CONTINENTAL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15.000,00</t>
        </is>
      </c>
      <c r="F153" s="4" t="inlineStr">
        <is>
          <t>1000.00</t>
        </is>
      </c>
    </row>
    <row collapsed="false" customFormat="false" customHeight="false" hidden="false" ht="12.1" outlineLevel="0" r="154">
      <c r="A154" s="5" t="s">
        <f>=HYPERLINK("https://www.leilaoonline.com.br/lote/detalhe/186628", "31020")</f>
      </c>
      <c r="B154" s="4" t="s">
        <f>=HYPERLINK("https://www.leilaoonline.com.br/lote/detalhe/186628", " SR/RODOFORT SRR CN, ANO 2005/2005, AZUL, FR14004290, LOC. CONTINENTAL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15.000,00</t>
        </is>
      </c>
      <c r="F154" s="4" t="inlineStr">
        <is>
          <t>1000.00</t>
        </is>
      </c>
    </row>
    <row collapsed="false" customFormat="false" customHeight="false" hidden="false" ht="12.1" outlineLevel="0" r="155">
      <c r="A155" s="5" t="s">
        <f>=HYPERLINK("https://www.leilaoonline.com.br/lote/detalhe/186625", "31021")</f>
      </c>
      <c r="B155" s="4" t="s">
        <f>=HYPERLINK("https://www.leilaoonline.com.br/lote/detalhe/186625", " R/RANDON RQ CA, ANO 2001/2001, VERDE , FR10004060, LOC. CONTINENTAL ")</f>
      </c>
      <c r="C155" s="4" t="inlineStr">
        <is>
          <t>Vendido</t>
        </is>
      </c>
      <c r="D155" s="4" t="inlineStr">
        <is>
          <t>1</t>
        </is>
      </c>
      <c r="E155" s="5" t="inlineStr">
        <is>
          <t>15.000,00</t>
        </is>
      </c>
      <c r="F155" s="4" t="inlineStr">
        <is>
          <t>1000.00</t>
        </is>
      </c>
    </row>
    <row collapsed="false" customFormat="false" customHeight="false" hidden="false" ht="12.1" outlineLevel="0" r="156">
      <c r="A156" s="5" t="s">
        <f>=HYPERLINK("https://www.leilaoonline.com.br/lote/detalhe/186650", "31022")</f>
      </c>
      <c r="B156" s="4" t="s">
        <f>=HYPERLINK("https://www.leilaoonline.com.br/lote/detalhe/186650", " SR/RANDON SR CA, ANO 2002/2003, AZUL, FR10004076, LOC. CONTINENTAL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15.000,00</t>
        </is>
      </c>
      <c r="F156" s="4" t="inlineStr">
        <is>
          <t>1000.00</t>
        </is>
      </c>
    </row>
    <row collapsed="false" customFormat="false" customHeight="false" hidden="false" ht="12.1" outlineLevel="0" r="157">
      <c r="A157" s="5" t="s">
        <f>=HYPERLINK("https://www.leilaoonline.com.br/lote/detalhe/186652", "31023")</f>
      </c>
      <c r="B157" s="4" t="s">
        <f>=HYPERLINK("https://www.leilaoonline.com.br/lote/detalhe/186652", " REB/TRUCK GALEGO SR, ANO 2004/2004, AZUL, FR10004113, LOC. CONTINENTAL ")</f>
      </c>
      <c r="C157" s="4" t="inlineStr">
        <is>
          <t>Não vendido</t>
        </is>
      </c>
      <c r="D157" s="4" t="inlineStr">
        <is>
          <t>1</t>
        </is>
      </c>
      <c r="E157" s="5" t="inlineStr">
        <is>
          <t>15.000,00</t>
        </is>
      </c>
      <c r="F157" s="4" t="inlineStr">
        <is>
          <t>1000.00</t>
        </is>
      </c>
    </row>
    <row collapsed="false" customFormat="false" customHeight="false" hidden="false" ht="12.1" outlineLevel="0" r="158">
      <c r="A158" s="5" t="s">
        <f>=HYPERLINK("https://www.leilaoonline.com.br/lote/detalhe/186649", "31024")</f>
      </c>
      <c r="B158" s="4" t="s">
        <f>=HYPERLINK("https://www.leilaoonline.com.br/lote/detalhe/186649", " SR/RODOFORT SRR CN, ANO 2005/2005, AZUL,  FR14004284, LOC. CONTINENTAL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15.000,00</t>
        </is>
      </c>
      <c r="F158" s="4" t="inlineStr">
        <is>
          <t>1000.00</t>
        </is>
      </c>
    </row>
    <row collapsed="false" customFormat="false" customHeight="false" hidden="false" ht="12.1" outlineLevel="0" r="159">
      <c r="A159" s="5" t="s">
        <f>=HYPERLINK("https://www.leilaoonline.com.br/lote/detalhe/186630", "31025")</f>
      </c>
      <c r="B159" s="4" t="s">
        <f>=HYPERLINK("https://www.leilaoonline.com.br/lote/detalhe/186630", " REB/TRUCK GALEGO SR, ANO 2005/2005, VERDE, FR10004072, LOC. CONTINENTAL 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15.000,00</t>
        </is>
      </c>
      <c r="F159" s="4" t="inlineStr">
        <is>
          <t>1000.00</t>
        </is>
      </c>
    </row>
    <row collapsed="false" customFormat="false" customHeight="false" hidden="false" ht="12.1" outlineLevel="0" r="160">
      <c r="A160" s="5" t="s">
        <f>=HYPERLINK("https://www.leilaoonline.com.br/lote/detalhe/186637", "31026")</f>
      </c>
      <c r="B160" s="4" t="s">
        <f>=HYPERLINK("https://www.leilaoonline.com.br/lote/detalhe/186637", " REB/TRUCK GALEGO SR, ANO 2004/2004, AZUL, FR10004100,LOC. CONTINENTAL 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15.000,00</t>
        </is>
      </c>
      <c r="F160" s="4" t="inlineStr">
        <is>
          <t>1000.00</t>
        </is>
      </c>
    </row>
    <row collapsed="false" customFormat="false" customHeight="false" hidden="false" ht="12.1" outlineLevel="0" r="161">
      <c r="A161" s="5" t="s">
        <f>=HYPERLINK("https://www.leilaoonline.com.br/lote/detalhe/186651", "31027")</f>
      </c>
      <c r="B161" s="4" t="s">
        <f>=HYPERLINK("https://www.leilaoonline.com.br/lote/detalhe/186651", " SR/RANDON SR CA,ANO 2006/2007, AZUL, FR10004116, LOC. CONTINENTAL 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15.000,00</t>
        </is>
      </c>
      <c r="F161" s="4" t="inlineStr">
        <is>
          <t>1000.00</t>
        </is>
      </c>
    </row>
    <row collapsed="false" customFormat="false" customHeight="false" hidden="false" ht="12.1" outlineLevel="0" r="162">
      <c r="A162" s="5" t="s">
        <f>=HYPERLINK("https://www.leilaoonline.com.br/lote/detalhe/186639", "31028")</f>
      </c>
      <c r="B162" s="4" t="s">
        <f>=HYPERLINK("https://www.leilaoonline.com.br/lote/detalhe/186639", " REB/TRUCK GALEGO SR, ANO 2004/2004, AZUL, FR10004095, LOC. CONTINENTAL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15.000,00</t>
        </is>
      </c>
      <c r="F162" s="4" t="inlineStr">
        <is>
          <t>1000.00</t>
        </is>
      </c>
    </row>
    <row collapsed="false" customFormat="false" customHeight="false" hidden="false" ht="12.1" outlineLevel="0" r="163">
      <c r="A163" s="5" t="s">
        <f>=HYPERLINK("https://www.leilaoonline.com.br/lote/detalhe/186638", "31029")</f>
      </c>
      <c r="B163" s="4" t="s">
        <f>=HYPERLINK("https://www.leilaoonline.com.br/lote/detalhe/186638", " SR/RODOFORT SRR CN,ANO 2005/2005, AZUL,  FR14004295, LOC. CONTINENTAL 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15.000,00</t>
        </is>
      </c>
      <c r="F163" s="4" t="inlineStr">
        <is>
          <t>1000.00</t>
        </is>
      </c>
    </row>
    <row collapsed="false" customFormat="false" customHeight="false" hidden="false" ht="12.1" outlineLevel="0" r="164">
      <c r="A164" s="5" t="s">
        <f>=HYPERLINK("https://www.leilaoonline.com.br/lote/detalhe/186632", "31030")</f>
      </c>
      <c r="B164" s="4" t="s">
        <f>=HYPERLINK("https://www.leilaoonline.com.br/lote/detalhe/186632", " REB/ TRUCK GALEGO SR,ANO 2004/2004, AZUL, FR10004109, LOC. CONTINENTAL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15.000,00</t>
        </is>
      </c>
      <c r="F164" s="4" t="inlineStr">
        <is>
          <t>1000.00</t>
        </is>
      </c>
    </row>
    <row collapsed="false" customFormat="false" customHeight="false" hidden="false" ht="12.1" outlineLevel="0" r="165">
      <c r="A165" s="5" t="s">
        <f>=HYPERLINK("https://www.leilaoonline.com.br/lote/detalhe/186645", "31031")</f>
      </c>
      <c r="B165" s="4" t="s">
        <f>=HYPERLINK("https://www.leilaoonline.com.br/lote/detalhe/186645", " GRADES 24 DISCOS, FR10003084, LOC. CONTINENTAL ")</f>
      </c>
      <c r="C165" s="4" t="inlineStr">
        <is>
          <t>Vendido</t>
        </is>
      </c>
      <c r="D165" s="4" t="inlineStr">
        <is>
          <t>29</t>
        </is>
      </c>
      <c r="E165" s="5" t="inlineStr">
        <is>
          <t>30.500,00</t>
        </is>
      </c>
      <c r="F165" s="4" t="inlineStr">
        <is>
          <t>1000.00</t>
        </is>
      </c>
    </row>
    <row collapsed="false" customFormat="false" customHeight="false" hidden="false" ht="12.1" outlineLevel="0" r="166">
      <c r="A166" s="5" t="s">
        <f>=HYPERLINK("https://www.leilaoonline.com.br/lote/detalhe/186642", "31032")</f>
      </c>
      <c r="B166" s="4" t="s">
        <f>=HYPERLINK("https://www.leilaoonline.com.br/lote/detalhe/186642", " HONDA/NXR125 BROS ES, ANO 2004/2004, VERMELHA, FR10006001, LOC. CONTINENTAL ")</f>
      </c>
      <c r="C166" s="4" t="inlineStr">
        <is>
          <t>Vendido</t>
        </is>
      </c>
      <c r="D166" s="4" t="inlineStr">
        <is>
          <t>8</t>
        </is>
      </c>
      <c r="E166" s="5" t="inlineStr">
        <is>
          <t>5.000,00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=HYPERLINK("https://www.leilaoonline.com.br/lote/detalhe/186646", "31033")</f>
      </c>
      <c r="B167" s="4" t="s">
        <f>=HYPERLINK("https://www.leilaoonline.com.br/lote/detalhe/186646", " GRADE CIVEMASA, FR122292, LOC. SERRA ")</f>
      </c>
      <c r="C167" s="4" t="inlineStr">
        <is>
          <t>Vendido</t>
        </is>
      </c>
      <c r="D167" s="4" t="inlineStr">
        <is>
          <t>33</t>
        </is>
      </c>
      <c r="E167" s="5" t="inlineStr">
        <is>
          <t>19.500,00</t>
        </is>
      </c>
      <c r="F167" s="4" t="inlineStr">
        <is>
          <t>500.00</t>
        </is>
      </c>
    </row>
    <row collapsed="false" customFormat="false" customHeight="false" hidden="false" ht="12.1" outlineLevel="0" r="168">
      <c r="A168" s="5" t="s">
        <f>=HYPERLINK("https://www.leilaoonline.com.br/lote/detalhe/186629", "31036")</f>
      </c>
      <c r="B168" s="4" t="s">
        <f>=HYPERLINK("https://www.leilaoonline.com.br/lote/detalhe/186629", " CARROCERIA DE AÇO, S/FR, LOC. SERRA ")</f>
      </c>
      <c r="C168" s="4" t="inlineStr">
        <is>
          <t>Vendido</t>
        </is>
      </c>
      <c r="D168" s="4" t="inlineStr">
        <is>
          <t>18</t>
        </is>
      </c>
      <c r="E168" s="5" t="inlineStr">
        <is>
          <t>5.200,00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=HYPERLINK("https://www.leilaoonline.com.br/lote/detalhe/186648", "31038")</f>
      </c>
      <c r="B169" s="4" t="s">
        <f>=HYPERLINK("https://www.leilaoonline.com.br/lote/detalhe/186648", " TRATOR J.DEERE 7230J (SUCATEADO), ANO 2016, FR126106, LOC. SERRA ")</f>
      </c>
      <c r="C169" s="4" t="inlineStr">
        <is>
          <t>Não vendido</t>
        </is>
      </c>
      <c r="D169" s="4" t="inlineStr">
        <is>
          <t>124</t>
        </is>
      </c>
      <c r="E169" s="5" t="inlineStr">
        <is>
          <t>146.000,00</t>
        </is>
      </c>
      <c r="F169" s="4" t="inlineStr">
        <is>
          <t>1000.00</t>
        </is>
      </c>
    </row>
    <row collapsed="false" customFormat="false" customHeight="false" hidden="false" ht="12.1" outlineLevel="0" r="170">
      <c r="A170" s="5" t="s">
        <f>=HYPERLINK("https://www.leilaoonline.com.br/lote/detalhe/186631", "31048")</f>
      </c>
      <c r="B170" s="4" t="s">
        <f>=HYPERLINK("https://www.leilaoonline.com.br/lote/detalhe/186631", " GRADE E 20 TANQUES PLASTICOS CORES AZUL/PRETO/BRANCO, FR17018, LOC. SERRA ")</f>
      </c>
      <c r="C170" s="4" t="inlineStr">
        <is>
          <t>Vendido</t>
        </is>
      </c>
      <c r="D170" s="4" t="inlineStr">
        <is>
          <t>16</t>
        </is>
      </c>
      <c r="E170" s="5" t="inlineStr">
        <is>
          <t>11.000,00</t>
        </is>
      </c>
      <c r="F170" s="4" t="inlineStr">
        <is>
          <t>500.00</t>
        </is>
      </c>
    </row>
    <row collapsed="false" customFormat="false" customHeight="false" hidden="false" ht="12.1" outlineLevel="0" r="171">
      <c r="A171" s="5" t="s">
        <f>=HYPERLINK("https://www.leilaoonline.com.br/lote/detalhe/186640", "31049")</f>
      </c>
      <c r="B171" s="4" t="s">
        <f>=HYPERLINK("https://www.leilaoonline.com.br/lote/detalhe/186640", " ENLEIRADEIRA, S/FR, LOC. SERRA ")</f>
      </c>
      <c r="C171" s="4" t="inlineStr">
        <is>
          <t>Não vendido</t>
        </is>
      </c>
      <c r="D171" s="4" t="inlineStr">
        <is>
          <t>1</t>
        </is>
      </c>
      <c r="E171" s="5" t="inlineStr">
        <is>
          <t>2.000,00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=HYPERLINK("https://www.leilaoonline.com.br/lote/detalhe/186515", "31050")</f>
      </c>
      <c r="B172" s="4" t="s">
        <f>=HYPERLINK("https://www.leilaoonline.com.br/lote/detalhe/186515", " ENLEIRADEIRA. - FR17219. - LOC. SERRA")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2.000,00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=HYPERLINK("https://www.leilaoonline.com.br/lote/detalhe/186512", "31052")</f>
      </c>
      <c r="B173" s="4" t="s">
        <f>=HYPERLINK("https://www.leilaoonline.com.br/lote/detalhe/186512", " IMPLEMENTO DMB. - FR17144. - LOC. SERRA")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2.000,00</t>
        </is>
      </c>
      <c r="F173" s="4" t="inlineStr">
        <is>
          <t>250.00</t>
        </is>
      </c>
    </row>
    <row collapsed="false" customFormat="false" customHeight="false" hidden="false" ht="12.1" outlineLevel="0" r="174">
      <c r="A174" s="5" t="s">
        <f>=HYPERLINK("https://www.leilaoonline.com.br/lote/detalhe/186635", "31053")</f>
      </c>
      <c r="B174" s="4" t="s">
        <f>=HYPERLINK("https://www.leilaoonline.com.br/lote/detalhe/186635", " DOLLY  VENDA S/DOC., FR97981, LOC. SERRA ")</f>
      </c>
      <c r="C174" s="4" t="inlineStr">
        <is>
          <t>Vendido</t>
        </is>
      </c>
      <c r="D174" s="4" t="inlineStr">
        <is>
          <t>27</t>
        </is>
      </c>
      <c r="E174" s="5" t="inlineStr">
        <is>
          <t>10.750,00</t>
        </is>
      </c>
      <c r="F174" s="4" t="inlineStr">
        <is>
          <t>500.00</t>
        </is>
      </c>
    </row>
    <row collapsed="false" customFormat="false" customHeight="false" hidden="false" ht="12.1" outlineLevel="0" r="175">
      <c r="A175" s="5" t="s">
        <f>=HYPERLINK("https://www.leilaoonline.com.br/lote/detalhe/186514", "31054")</f>
      </c>
      <c r="B175" s="4" t="s">
        <f>=HYPERLINK("https://www.leilaoonline.com.br/lote/detalhe/186514", " IMPLEMENTO. - FR134059. - LOC. SERRA")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2.000,00</t>
        </is>
      </c>
      <c r="F175" s="4" t="inlineStr">
        <is>
          <t>150.00</t>
        </is>
      </c>
    </row>
    <row collapsed="false" customFormat="false" customHeight="false" hidden="false" ht="12.1" outlineLevel="0" r="176">
      <c r="A176" s="5" t="s">
        <f>=HYPERLINK("https://www.leilaoonline.com.br/lote/detalhe/186641", "31056")</f>
      </c>
      <c r="B176" s="4" t="s">
        <f>=HYPERLINK("https://www.leilaoonline.com.br/lote/detalhe/186641", " CARRETA DE TORTA, FR17276, LOC. SERRA ")</f>
      </c>
      <c r="C176" s="4" t="inlineStr">
        <is>
          <t>Não vendido</t>
        </is>
      </c>
      <c r="D176" s="4" t="inlineStr">
        <is>
          <t>46</t>
        </is>
      </c>
      <c r="E176" s="5" t="inlineStr">
        <is>
          <t>18.000,00</t>
        </is>
      </c>
      <c r="F176" s="4" t="inlineStr">
        <is>
          <t>500.00</t>
        </is>
      </c>
    </row>
    <row collapsed="false" customFormat="false" customHeight="false" hidden="false" ht="12.1" outlineLevel="0" r="177">
      <c r="A177" s="5" t="s">
        <f>=HYPERLINK("https://www.leilaoonline.com.br/lote/detalhe/186647", "31058")</f>
      </c>
      <c r="B177" s="4" t="s">
        <f>=HYPERLINK("https://www.leilaoonline.com.br/lote/detalhe/186647", " CARRETA DE TORTA, FR134002, LOC. SERRA ")</f>
      </c>
      <c r="C177" s="4" t="inlineStr">
        <is>
          <t>Não vendido</t>
        </is>
      </c>
      <c r="D177" s="4" t="inlineStr">
        <is>
          <t>1</t>
        </is>
      </c>
      <c r="E177" s="5" t="inlineStr">
        <is>
          <t>3.000,00</t>
        </is>
      </c>
      <c r="F177" s="4" t="inlineStr">
        <is>
          <t>250.00</t>
        </is>
      </c>
    </row>
    <row collapsed="false" customFormat="false" customHeight="false" hidden="false" ht="12.1" outlineLevel="0" r="178">
      <c r="A178" s="5" t="s">
        <f>=HYPERLINK("https://www.leilaoonline.com.br/lote/detalhe/186644", "31059")</f>
      </c>
      <c r="B178" s="4" t="s">
        <f>=HYPERLINK("https://www.leilaoonline.com.br/lote/detalhe/186644", " TRANSBORDO SANTAL, 2015, VT12, FR17311, LOC. SERRA ")</f>
      </c>
      <c r="C178" s="4" t="inlineStr">
        <is>
          <t>Não vendido</t>
        </is>
      </c>
      <c r="D178" s="4" t="inlineStr">
        <is>
          <t>1</t>
        </is>
      </c>
      <c r="E178" s="5" t="inlineStr">
        <is>
          <t>11.000,00</t>
        </is>
      </c>
      <c r="F178" s="4" t="inlineStr">
        <is>
          <t>1000.00</t>
        </is>
      </c>
    </row>
    <row collapsed="false" customFormat="false" customHeight="false" hidden="false" ht="12.1" outlineLevel="0" r="179">
      <c r="A179" s="5" t="s">
        <f>=HYPERLINK("https://www.leilaoonline.com.br/lote/detalhe/186643", "31060")</f>
      </c>
      <c r="B179" s="4" t="s">
        <f>=HYPERLINK("https://www.leilaoonline.com.br/lote/detalhe/186643", " TRANSBORDO SANTAL, 2015, VT13, FR17313, LOC. SERRA ")</f>
      </c>
      <c r="C179" s="4" t="inlineStr">
        <is>
          <t>Não vendido</t>
        </is>
      </c>
      <c r="D179" s="4" t="inlineStr">
        <is>
          <t>1</t>
        </is>
      </c>
      <c r="E179" s="5" t="inlineStr">
        <is>
          <t>11.000,00</t>
        </is>
      </c>
      <c r="F179" s="4" t="inlineStr">
        <is>
          <t>1000.00</t>
        </is>
      </c>
    </row>
    <row collapsed="false" customFormat="false" customHeight="false" hidden="false" ht="12.1" outlineLevel="0" r="180">
      <c r="A180" s="5" t="s">
        <f>=HYPERLINK("https://www.leilaoonline.com.br/lote/detalhe/186627", "31061")</f>
      </c>
      <c r="B180" s="4" t="s">
        <f>=HYPERLINK("https://www.leilaoonline.com.br/lote/detalhe/186627", " PLANTADEIRA DMB, FR17191, LOC. SERRA 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10.000,00</t>
        </is>
      </c>
      <c r="F180" s="4" t="inlineStr">
        <is>
          <t>1000.00</t>
        </is>
      </c>
    </row>
    <row collapsed="false" customFormat="false" customHeight="false" hidden="false" ht="12.1" outlineLevel="0" r="181">
      <c r="A181" s="5" t="s">
        <f>=HYPERLINK("https://www.leilaoonline.com.br/lote/detalhe/186513", "31065")</f>
      </c>
      <c r="B181" s="4" t="s">
        <f>=HYPERLINK("https://www.leilaoonline.com.br/lote/detalhe/186513", " ELIMINADOR DE SOQUEIRA. - FR122343. - LOC. BONFIM")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2.000,00</t>
        </is>
      </c>
      <c r="F181" s="4" t="inlineStr">
        <is>
          <t>250.00</t>
        </is>
      </c>
    </row>
    <row collapsed="false" customFormat="false" customHeight="false" hidden="false" ht="12.1" outlineLevel="0" r="182">
      <c r="A182" s="5" t="s">
        <f>=HYPERLINK("https://www.leilaoonline.com.br/lote/detalhe/186634", "31066")</f>
      </c>
      <c r="B182" s="4" t="s">
        <f>=HYPERLINK("https://www.leilaoonline.com.br/lote/detalhe/186634", " ELIMINADOR DE SOQUEIRA, S/FR, LOC. BONFIM ")</f>
      </c>
      <c r="C182" s="4" t="inlineStr">
        <is>
          <t>Não vendido</t>
        </is>
      </c>
      <c r="D182" s="4" t="inlineStr">
        <is>
          <t>4</t>
        </is>
      </c>
      <c r="E182" s="5" t="inlineStr">
        <is>
          <t>2.750,00</t>
        </is>
      </c>
      <c r="F182" s="4" t="inlineStr">
        <is>
          <t>250.00</t>
        </is>
      </c>
    </row>
    <row collapsed="false" customFormat="false" customHeight="false" hidden="false" ht="12.1" outlineLevel="0" r="183">
      <c r="A183" s="5" t="s">
        <f>=HYPERLINK("https://www.leilaoonline.com.br/lote/detalhe/188502", "31067")</f>
      </c>
      <c r="B183" s="4" t="s">
        <f>=HYPERLINK("https://www.leilaoonline.com.br/lote/detalhe/188502", " CAMINHÃO M.BENZ/L 1214, ANO 1991/1991, BRANCA - CARROC. BAÚ C/ MOTOR/GERADOR E ARMARIO, FR119595/121802 - LOC. BONFIM")</f>
      </c>
      <c r="C183" s="4" t="inlineStr">
        <is>
          <t>Não vendido</t>
        </is>
      </c>
      <c r="D183" s="4" t="inlineStr">
        <is>
          <t>23</t>
        </is>
      </c>
      <c r="E183" s="5" t="inlineStr">
        <is>
          <t>41.000,00</t>
        </is>
      </c>
      <c r="F183" s="4" t="inlineStr">
        <is>
          <t>1000.00</t>
        </is>
      </c>
    </row>
    <row collapsed="false" customFormat="false" customHeight="false" hidden="false" ht="12.1" outlineLevel="0" r="184">
      <c r="A184" s="5" t="s">
        <f>=HYPERLINK("https://www.leilaoonline.com.br/lote/detalhe/186636", "31068")</f>
      </c>
      <c r="B184" s="4" t="s">
        <f>=HYPERLINK("https://www.leilaoonline.com.br/lote/detalhe/186636", " CAMINHÃO M.BENZ/L 2215 , ANO 1986/1986, BRANCA,FR 119446/21785, LOC. BONFIM ")</f>
      </c>
      <c r="C184" s="4" t="inlineStr">
        <is>
          <t>Não vendido</t>
        </is>
      </c>
      <c r="D184" s="4" t="inlineStr">
        <is>
          <t>25</t>
        </is>
      </c>
      <c r="E184" s="5" t="inlineStr">
        <is>
          <t>64.000,00</t>
        </is>
      </c>
      <c r="F184" s="4" t="inlineStr">
        <is>
          <t>1000.00</t>
        </is>
      </c>
    </row>
    <row collapsed="false" customFormat="false" customHeight="false" hidden="false" ht="12.1" outlineLevel="0" r="185">
      <c r="A185" s="5" t="s">
        <f>=HYPERLINK("https://www.leilaoonline.com.br/lote/detalhe/187205", "31073")</f>
      </c>
      <c r="B185" s="4" t="s">
        <f>=HYPERLINK("https://www.leilaoonline.com.br/lote/detalhe/187205", " ROSCA SEM FIM Nº 2B SILO FARELO SOJA PARA MISTURADOR,ROSCA SEM FIM Nº 1 SILO MILHO 2 PARA TRITURADOR 2, SILO DE MILHO Nº1, ELEVADOR DE CANECOS Nº 1, LOC. LAGOA DA PRATA ")</f>
      </c>
      <c r="C185" s="4" t="inlineStr">
        <is>
          <t>Não vendido</t>
        </is>
      </c>
      <c r="D185" s="4" t="inlineStr">
        <is>
          <t>171</t>
        </is>
      </c>
      <c r="E185" s="5" t="inlineStr">
        <is>
          <t>200.000,00</t>
        </is>
      </c>
      <c r="F185" s="4" t="inlineStr">
        <is>
          <t>2000.00</t>
        </is>
      </c>
    </row>
    <row collapsed="false" customFormat="false" customHeight="false" hidden="false" ht="12.1" outlineLevel="0" r="186">
      <c r="A186" s="5" t="s">
        <f>=HYPERLINK("https://www.leilaoonline.com.br/lote/detalhe/187193", "31074")</f>
      </c>
      <c r="B186" s="4" t="s">
        <f>=HYPERLINK("https://www.leilaoonline.com.br/lote/detalhe/187193", " ROSCA SEM FIM SILO 04 PARA MISTURADOR, ELEVADOR DE CANECOS Nº2,MISTURADOR (TIPO CAÇAMBA VEICULAR) DE RAÇÃO CASALE, PAINEL ACIONAMENTO MISTURADOR E ESTEIRA E PAINEL PCM, ROSCA SEM FIM Nº 4 SILO MILHO 1 PARA TRITURADOR 1, S/FR, LOC. LAGOA DA PRATA ")</f>
      </c>
      <c r="C186" s="4" t="inlineStr">
        <is>
          <t>Não vendido</t>
        </is>
      </c>
      <c r="D186" s="4" t="inlineStr">
        <is>
          <t>182</t>
        </is>
      </c>
      <c r="E186" s="5" t="inlineStr">
        <is>
          <t>181.000,00</t>
        </is>
      </c>
      <c r="F186" s="4" t="inlineStr">
        <is>
          <t>2000.00</t>
        </is>
      </c>
    </row>
    <row collapsed="false" customFormat="false" customHeight="false" hidden="false" ht="12.1" outlineLevel="0" r="187">
      <c r="A187" s="5" t="s">
        <f>=HYPERLINK("https://www.leilaoonline.com.br/lote/detalhe/187198", "31075")</f>
      </c>
      <c r="B187" s="4" t="s">
        <f>=HYPERLINK("https://www.leilaoonline.com.br/lote/detalhe/187198", " IMPLEMENTO, S/FR, LOC. LAGOA DA PRATA ")</f>
      </c>
      <c r="C187" s="4" t="inlineStr">
        <is>
          <t>Não vendido</t>
        </is>
      </c>
      <c r="D187" s="4" t="inlineStr">
        <is>
          <t>119</t>
        </is>
      </c>
      <c r="E187" s="5" t="inlineStr">
        <is>
          <t>102.000,00</t>
        </is>
      </c>
      <c r="F187" s="4" t="inlineStr">
        <is>
          <t>2000.00</t>
        </is>
      </c>
    </row>
    <row collapsed="false" customFormat="false" customHeight="false" hidden="false" ht="12.1" outlineLevel="0" r="188">
      <c r="A188" s="5" t="s">
        <f>=HYPERLINK("https://www.leilaoonline.com.br/lote/detalhe/187149", "31076")</f>
      </c>
      <c r="B188" s="4" t="s">
        <f>=HYPERLINK("https://www.leilaoonline.com.br/lote/detalhe/187149", " IMPLEMENTO, FR5003074 LOC. LAGOA DA PRATA ")</f>
      </c>
      <c r="C188" s="4" t="inlineStr">
        <is>
          <t>Não vendido</t>
        </is>
      </c>
      <c r="D188" s="4" t="inlineStr">
        <is>
          <t>73</t>
        </is>
      </c>
      <c r="E188" s="5" t="inlineStr">
        <is>
          <t>60.000,00</t>
        </is>
      </c>
      <c r="F188" s="4" t="inlineStr">
        <is>
          <t>2000.00</t>
        </is>
      </c>
    </row>
    <row collapsed="false" customFormat="false" customHeight="false" hidden="false" ht="12.1" outlineLevel="0" r="189">
      <c r="A189" s="5" t="s">
        <f>=HYPERLINK("https://www.leilaoonline.com.br/lote/detalhe/187168", "31077")</f>
      </c>
      <c r="B189" s="4" t="s">
        <f>=HYPERLINK("https://www.leilaoonline.com.br/lote/detalhe/187168", " CARROCERIA, ANO 2012, FR290404, LOC. LAGOA DA PRATA ")</f>
      </c>
      <c r="C189" s="4" t="inlineStr">
        <is>
          <t>Vendido</t>
        </is>
      </c>
      <c r="D189" s="4" t="inlineStr">
        <is>
          <t>7</t>
        </is>
      </c>
      <c r="E189" s="5" t="inlineStr">
        <is>
          <t>12.000,00</t>
        </is>
      </c>
      <c r="F189" s="4" t="inlineStr">
        <is>
          <t>500.00</t>
        </is>
      </c>
    </row>
    <row collapsed="false" customFormat="false" customHeight="false" hidden="false" ht="12.1" outlineLevel="0" r="190">
      <c r="A190" s="5" t="s">
        <f>=HYPERLINK("https://www.leilaoonline.com.br/lote/detalhe/187150", "31078")</f>
      </c>
      <c r="B190" s="4" t="s">
        <f>=HYPERLINK("https://www.leilaoonline.com.br/lote/detalhe/187150", " CARROCERIA, ANO 2012, FR289731, LOC. LAGOA DA PRATA ")</f>
      </c>
      <c r="C190" s="4" t="inlineStr">
        <is>
          <t>Vendido</t>
        </is>
      </c>
      <c r="D190" s="4" t="inlineStr">
        <is>
          <t>15</t>
        </is>
      </c>
      <c r="E190" s="5" t="inlineStr">
        <is>
          <t>12.000,00</t>
        </is>
      </c>
      <c r="F190" s="4" t="inlineStr">
        <is>
          <t>500.00</t>
        </is>
      </c>
    </row>
    <row collapsed="false" customFormat="false" customHeight="false" hidden="false" ht="12.1" outlineLevel="0" r="191">
      <c r="A191" s="5" t="s">
        <f>=HYPERLINK("https://www.leilaoonline.com.br/lote/detalhe/187210", "31079")</f>
      </c>
      <c r="B191" s="4" t="s">
        <f>=HYPERLINK("https://www.leilaoonline.com.br/lote/detalhe/187210", " CARROCERIA, ANO 2012, FR289735, LOC. LAGOA DA PRATA ")</f>
      </c>
      <c r="C191" s="4" t="inlineStr">
        <is>
          <t>Vendido</t>
        </is>
      </c>
      <c r="D191" s="4" t="inlineStr">
        <is>
          <t>21</t>
        </is>
      </c>
      <c r="E191" s="5" t="inlineStr">
        <is>
          <t>15.000,00</t>
        </is>
      </c>
      <c r="F191" s="4" t="inlineStr">
        <is>
          <t>500.00</t>
        </is>
      </c>
    </row>
    <row collapsed="false" customFormat="false" customHeight="false" hidden="false" ht="12.1" outlineLevel="0" r="192">
      <c r="A192" s="5" t="s">
        <f>=HYPERLINK("https://www.leilaoonline.com.br/lote/detalhe/187189", "31081")</f>
      </c>
      <c r="B192" s="4" t="s">
        <f>=HYPERLINK("https://www.leilaoonline.com.br/lote/detalhe/187189", " 4 ESTEIRAS TRANSPORTADORA BORRACHA C/3 MOTOREDUTOR (5 MTS APROXIMADO), LOC. LAGOA DA PRATA ")</f>
      </c>
      <c r="C192" s="4" t="inlineStr">
        <is>
          <t>Não vendido</t>
        </is>
      </c>
      <c r="D192" s="4" t="inlineStr">
        <is>
          <t>23</t>
        </is>
      </c>
      <c r="E192" s="5" t="inlineStr">
        <is>
          <t>11.750,00</t>
        </is>
      </c>
      <c r="F192" s="4" t="inlineStr">
        <is>
          <t>500.00</t>
        </is>
      </c>
    </row>
    <row collapsed="false" customFormat="false" customHeight="false" hidden="false" ht="12.1" outlineLevel="0" r="193">
      <c r="A193" s="5" t="s">
        <f>=HYPERLINK("https://www.leilaoonline.com.br/lote/detalhe/187207", "31082")</f>
      </c>
      <c r="B193" s="4" t="s">
        <f>=HYPERLINK("https://www.leilaoonline.com.br/lote/detalhe/187207", " 2 EMPACOTADORAS, 01 ENFARDADEIRA E 1 ESTEIRA ELETROÍMA, S/FR, LOC. LAGOA DA PRATA")</f>
      </c>
      <c r="C193" s="4" t="inlineStr">
        <is>
          <t>Não vendido</t>
        </is>
      </c>
      <c r="D193" s="4" t="inlineStr">
        <is>
          <t>23</t>
        </is>
      </c>
      <c r="E193" s="5" t="inlineStr">
        <is>
          <t>7.400,00</t>
        </is>
      </c>
      <c r="F193" s="4" t="inlineStr">
        <is>
          <t>250.00</t>
        </is>
      </c>
    </row>
    <row collapsed="false" customFormat="false" customHeight="false" hidden="false" ht="12.1" outlineLevel="0" r="194">
      <c r="A194" s="5" t="s">
        <f>=HYPERLINK("https://www.leilaoonline.com.br/lote/detalhe/187153", "31084")</f>
      </c>
      <c r="B194" s="4" t="s">
        <f>=HYPERLINK("https://www.leilaoonline.com.br/lote/detalhe/187153", " 4 ESTEIRAS SENDO 3 PEQ. E 1 CURVADA TODAS COM MOTOR, S/FR, LOC. LAGOA DA PRATA ")</f>
      </c>
      <c r="C194" s="4" t="inlineStr">
        <is>
          <t>Não vendido</t>
        </is>
      </c>
      <c r="D194" s="4" t="inlineStr">
        <is>
          <t>1</t>
        </is>
      </c>
      <c r="E194" s="5" t="inlineStr">
        <is>
          <t>5.000,00</t>
        </is>
      </c>
      <c r="F194" s="4" t="inlineStr">
        <is>
          <t>250.00</t>
        </is>
      </c>
    </row>
    <row collapsed="false" customFormat="false" customHeight="false" hidden="false" ht="12.1" outlineLevel="0" r="195">
      <c r="A195" s="5" t="s">
        <f>=HYPERLINK("https://www.leilaoonline.com.br/lote/detalhe/187192", "31087")</f>
      </c>
      <c r="B195" s="4" t="s">
        <f>=HYPERLINK("https://www.leilaoonline.com.br/lote/detalhe/187192", " 3 ESTEIRAS BORRACHA C/ MOTOR ( 5 MTS APROX), S/FR, LOC. LAGOA DA PRATA ")</f>
      </c>
      <c r="C195" s="4" t="inlineStr">
        <is>
          <t>Não vendido</t>
        </is>
      </c>
      <c r="D195" s="4" t="inlineStr">
        <is>
          <t>26</t>
        </is>
      </c>
      <c r="E195" s="5" t="inlineStr">
        <is>
          <t>13.000,00</t>
        </is>
      </c>
      <c r="F195" s="4" t="inlineStr">
        <is>
          <t>500.00</t>
        </is>
      </c>
    </row>
    <row collapsed="false" customFormat="false" customHeight="false" hidden="false" ht="12.1" outlineLevel="0" r="196">
      <c r="A196" s="5" t="s">
        <f>=HYPERLINK("https://www.leilaoonline.com.br/lote/detalhe/187190", "31089")</f>
      </c>
      <c r="B196" s="4" t="s">
        <f>=HYPERLINK("https://www.leilaoonline.com.br/lote/detalhe/187190", " 2 ESTEIRAS BORRACHA C/ MOTOR ( 7 MTS APROX),S/FR, LOC. LAGOA DA PRATA ")</f>
      </c>
      <c r="C196" s="4" t="inlineStr">
        <is>
          <t>Não vendido</t>
        </is>
      </c>
      <c r="D196" s="4" t="inlineStr">
        <is>
          <t>39</t>
        </is>
      </c>
      <c r="E196" s="5" t="inlineStr">
        <is>
          <t>12.600,00</t>
        </is>
      </c>
      <c r="F196" s="4" t="inlineStr">
        <is>
          <t>500.00</t>
        </is>
      </c>
    </row>
    <row collapsed="false" customFormat="false" customHeight="false" hidden="false" ht="12.1" outlineLevel="0" r="197">
      <c r="A197" s="5" t="s">
        <f>=HYPERLINK("https://www.leilaoonline.com.br/lote/detalhe/187204", "31091")</f>
      </c>
      <c r="B197" s="4" t="s">
        <f>=HYPERLINK("https://www.leilaoonline.com.br/lote/detalhe/187204", " 4 MAQUINAS DE COSTURA, 3 SUPORTE C/ 2 MOTORES,S/FR, LOC. LAGOA DA PRATA ")</f>
      </c>
      <c r="C197" s="4" t="inlineStr">
        <is>
          <t>Não vendido</t>
        </is>
      </c>
      <c r="D197" s="4" t="inlineStr">
        <is>
          <t>1</t>
        </is>
      </c>
      <c r="E197" s="5" t="inlineStr">
        <is>
          <t>2.000,00</t>
        </is>
      </c>
      <c r="F197" s="4" t="inlineStr">
        <is>
          <t>250.00</t>
        </is>
      </c>
    </row>
    <row collapsed="false" customFormat="false" customHeight="false" hidden="false" ht="12.1" outlineLevel="0" r="198">
      <c r="A198" s="5" t="s">
        <f>=HYPERLINK("https://www.leilaoonline.com.br/lote/detalhe/187152", "31093")</f>
      </c>
      <c r="B198" s="4" t="s">
        <f>=HYPERLINK("https://www.leilaoonline.com.br/lote/detalhe/187152", " 2 EQUIPAMENTOS P/ DATAR SACARIA, S/FR, LOC. LAGOA DA PRATA ")</f>
      </c>
      <c r="C198" s="4" t="inlineStr">
        <is>
          <t>Não vendido</t>
        </is>
      </c>
      <c r="D198" s="4" t="inlineStr">
        <is>
          <t>1</t>
        </is>
      </c>
      <c r="E198" s="5" t="inlineStr">
        <is>
          <t>1.000,00</t>
        </is>
      </c>
      <c r="F198" s="4" t="inlineStr">
        <is>
          <t>150.00</t>
        </is>
      </c>
    </row>
    <row collapsed="false" customFormat="false" customHeight="false" hidden="false" ht="12.1" outlineLevel="0" r="199">
      <c r="A199" s="5" t="s">
        <f>=HYPERLINK("https://www.leilaoonline.com.br/lote/detalhe/187166", "31094")</f>
      </c>
      <c r="B199" s="4" t="s">
        <f>=HYPERLINK("https://www.leilaoonline.com.br/lote/detalhe/187166", " 3 BALANÇAS ELETRONICA CAP 10 KG MCA TOLEDO MOD 2090, S/FR, LOC. LAGOA DA PRATA ")</f>
      </c>
      <c r="C199" s="4" t="inlineStr">
        <is>
          <t>Não vendido</t>
        </is>
      </c>
      <c r="D199" s="4" t="inlineStr">
        <is>
          <t>1</t>
        </is>
      </c>
      <c r="E199" s="5" t="inlineStr">
        <is>
          <t>1.500,00</t>
        </is>
      </c>
      <c r="F199" s="4" t="inlineStr">
        <is>
          <t>150.00</t>
        </is>
      </c>
    </row>
    <row collapsed="false" customFormat="false" customHeight="false" hidden="false" ht="12.1" outlineLevel="0" r="200">
      <c r="A200" s="5" t="s">
        <f>=HYPERLINK("https://www.leilaoonline.com.br/lote/detalhe/187174", "31095")</f>
      </c>
      <c r="B200" s="4" t="s">
        <f>=HYPERLINK("https://www.leilaoonline.com.br/lote/detalhe/187174", " PONTE ROLANTE ARMAZEM Nº 1 (FOTO PREJUDICADA PARTICULA DEACUÇAR SUSPENSA PONTE A NO MINIMO 15 MTS ALT. DENTRO BARRAÇÃO), S/FR, LOC. LAGOA DA PRATA ")</f>
      </c>
      <c r="C200" s="4" t="inlineStr">
        <is>
          <t>Não vendido</t>
        </is>
      </c>
      <c r="D200" s="4" t="inlineStr">
        <is>
          <t>7</t>
        </is>
      </c>
      <c r="E200" s="5" t="inlineStr">
        <is>
          <t>6.500,00</t>
        </is>
      </c>
      <c r="F200" s="4" t="inlineStr">
        <is>
          <t>250.00</t>
        </is>
      </c>
    </row>
    <row collapsed="false" customFormat="false" customHeight="false" hidden="false" ht="12.1" outlineLevel="0" r="201">
      <c r="A201" s="5" t="s">
        <f>=HYPERLINK("https://www.leilaoonline.com.br/lote/detalhe/187139", "31096")</f>
      </c>
      <c r="B201" s="4" t="s">
        <f>=HYPERLINK("https://www.leilaoonline.com.br/lote/detalhe/187139", " CARRETA ABRIGO FAB.PRÓPRIA, S/FR, LOC. JATAI 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3.000,00</t>
        </is>
      </c>
      <c r="F201" s="4" t="inlineStr">
        <is>
          <t>250.00</t>
        </is>
      </c>
    </row>
    <row collapsed="false" customFormat="false" customHeight="false" hidden="false" ht="12.1" outlineLevel="0" r="202">
      <c r="A202" s="5" t="s">
        <f>=HYPERLINK("https://www.leilaoonline.com.br/lote/detalhe/187163", "31097")</f>
      </c>
      <c r="B202" s="4" t="s">
        <f>=HYPERLINK("https://www.leilaoonline.com.br/lote/detalhe/187163", " CARRETA ABRIGO FAB.PRÓPRIA, S/FR, LOC. JATAI ")</f>
      </c>
      <c r="C202" s="4" t="inlineStr">
        <is>
          <t>Vendido</t>
        </is>
      </c>
      <c r="D202" s="4" t="inlineStr">
        <is>
          <t>1</t>
        </is>
      </c>
      <c r="E202" s="5" t="inlineStr">
        <is>
          <t>3.000,00</t>
        </is>
      </c>
      <c r="F202" s="4" t="inlineStr">
        <is>
          <t>250.00</t>
        </is>
      </c>
    </row>
    <row collapsed="false" customFormat="false" customHeight="false" hidden="false" ht="12.1" outlineLevel="0" r="203">
      <c r="A203" s="5" t="s">
        <f>=HYPERLINK("https://www.leilaoonline.com.br/lote/detalhe/187160", "31098")</f>
      </c>
      <c r="B203" s="4" t="s">
        <f>=HYPERLINK("https://www.leilaoonline.com.br/lote/detalhe/187160", " SR/RANDONSP SRCA CA ANO 2011/2011, AZUL, FR164133, LOC. JATAI ")</f>
      </c>
      <c r="C203" s="4" t="inlineStr">
        <is>
          <t>Vendido</t>
        </is>
      </c>
      <c r="D203" s="4" t="inlineStr">
        <is>
          <t>12</t>
        </is>
      </c>
      <c r="E203" s="5" t="inlineStr">
        <is>
          <t>31.000,00</t>
        </is>
      </c>
      <c r="F203" s="4" t="inlineStr">
        <is>
          <t>1000.00</t>
        </is>
      </c>
    </row>
    <row collapsed="false" customFormat="false" customHeight="false" hidden="false" ht="12.1" outlineLevel="0" r="204">
      <c r="A204" s="5" t="s">
        <f>=HYPERLINK("https://www.leilaoonline.com.br/lote/detalhe/187185", "31099")</f>
      </c>
      <c r="B204" s="4" t="s">
        <f>=HYPERLINK("https://www.leilaoonline.com.br/lote/detalhe/187185", " COLHEDORA J.DEERE CH570 1L (COLHE QUEIMADA), ANO 2018, FR163652, LOC. JATAI 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25.000,00</t>
        </is>
      </c>
      <c r="F204" s="4" t="inlineStr">
        <is>
          <t>1000.00</t>
        </is>
      </c>
    </row>
    <row collapsed="false" customFormat="false" customHeight="false" hidden="false" ht="12.1" outlineLevel="0" r="205">
      <c r="A205" s="5" t="s">
        <f>=HYPERLINK("https://www.leilaoonline.com.br/lote/detalhe/187195", "31100")</f>
      </c>
      <c r="B205" s="4" t="s">
        <f>=HYPERLINK("https://www.leilaoonline.com.br/lote/detalhe/187195", " CAMINHÃO VW/15.180 EURO3 WORKER, ANO 2008/2009, BRANCA, FR163111, (OBS. SEM MOTOR,SEM CÂMBIO, CARROCERIA BAÚ OFICINA C/MAQ SOLDA, BANCADA,ARMARIO DE AÇO EMANGUEIRAS DE LUBRIFICAÇÃO),  LOC. JATAI ")</f>
      </c>
      <c r="C205" s="4" t="inlineStr">
        <is>
          <t>Vendido</t>
        </is>
      </c>
      <c r="D205" s="4" t="inlineStr">
        <is>
          <t>15</t>
        </is>
      </c>
      <c r="E205" s="5" t="inlineStr">
        <is>
          <t>34.000,00</t>
        </is>
      </c>
      <c r="F205" s="4" t="inlineStr">
        <is>
          <t>1000.00</t>
        </is>
      </c>
    </row>
    <row collapsed="false" customFormat="false" customHeight="false" hidden="false" ht="12.1" outlineLevel="0" r="206">
      <c r="A206" s="5" t="s">
        <f>=HYPERLINK("https://www.leilaoonline.com.br/lote/detalhe/187157", "31101")</f>
      </c>
      <c r="B206" s="4" t="s">
        <f>=HYPERLINK("https://www.leilaoonline.com.br/lote/detalhe/187157", " CAMINHÃO VW/26.220 EURO3 WORKWER, ANO 2011/2011, BRANCA, FR163151, COMBOIO,(  SEM MOTOR, CAMBIO E CARDAN) , LOC. JATAI ")</f>
      </c>
      <c r="C206" s="4" t="inlineStr">
        <is>
          <t>Vendido</t>
        </is>
      </c>
      <c r="D206" s="4" t="inlineStr">
        <is>
          <t>40</t>
        </is>
      </c>
      <c r="E206" s="5" t="inlineStr">
        <is>
          <t>67.900,00</t>
        </is>
      </c>
      <c r="F206" s="4" t="inlineStr">
        <is>
          <t>1000.00</t>
        </is>
      </c>
    </row>
    <row collapsed="false" customFormat="false" customHeight="false" hidden="false" ht="12.1" outlineLevel="0" r="207">
      <c r="A207" s="5" t="s">
        <f>=HYPERLINK("https://www.leilaoonline.com.br/lote/detalhe/187206", "31102")</f>
      </c>
      <c r="B207" s="4" t="s">
        <f>=HYPERLINK("https://www.leilaoonline.com.br/lote/detalhe/187206", " CAMINHÃO IVECO/DAILLY 70C17HDCD, ANO 2014/2014, BRANCA, FR163206, ( COM CARROCEIRA BAU, SEM MOTOR), LOC. JATAI")</f>
      </c>
      <c r="C207" s="4" t="inlineStr">
        <is>
          <t>Vendido</t>
        </is>
      </c>
      <c r="D207" s="4" t="inlineStr">
        <is>
          <t>10</t>
        </is>
      </c>
      <c r="E207" s="5" t="inlineStr">
        <is>
          <t>29.000,00</t>
        </is>
      </c>
      <c r="F207" s="4" t="inlineStr">
        <is>
          <t>1000.00</t>
        </is>
      </c>
    </row>
    <row collapsed="false" customFormat="false" customHeight="false" hidden="false" ht="12.1" outlineLevel="0" r="208">
      <c r="A208" s="5" t="s">
        <f>=HYPERLINK("https://www.leilaoonline.com.br/lote/detalhe/187170", "31103")</f>
      </c>
      <c r="B208" s="4" t="s">
        <f>=HYPERLINK("https://www.leilaoonline.com.br/lote/detalhe/187170", " R/SOUFER CA 4E, ANO 2012/2012, CINZA, FR164431, CINZA, LOC. JATAI ")</f>
      </c>
      <c r="C208" s="4" t="inlineStr">
        <is>
          <t>Vendido</t>
        </is>
      </c>
      <c r="D208" s="4" t="inlineStr">
        <is>
          <t>1</t>
        </is>
      </c>
      <c r="E208" s="5" t="inlineStr">
        <is>
          <t>20.000,00</t>
        </is>
      </c>
      <c r="F208" s="4" t="inlineStr">
        <is>
          <t>1000.00</t>
        </is>
      </c>
    </row>
    <row collapsed="false" customFormat="false" customHeight="false" hidden="false" ht="12.1" outlineLevel="0" r="209">
      <c r="A209" s="5" t="s">
        <f>=HYPERLINK("https://www.leilaoonline.com.br/lote/detalhe/187148", "31104")</f>
      </c>
      <c r="B209" s="4" t="s">
        <f>=HYPERLINK("https://www.leilaoonline.com.br/lote/detalhe/187148", " R/RANDONSP RQ CA, ANO 2013/2014, CINZA, FR121609, LOC. JATAI ")</f>
      </c>
      <c r="C209" s="4" t="inlineStr">
        <is>
          <t>Vendido</t>
        </is>
      </c>
      <c r="D209" s="4" t="inlineStr">
        <is>
          <t>22</t>
        </is>
      </c>
      <c r="E209" s="5" t="inlineStr">
        <is>
          <t>51.000,00</t>
        </is>
      </c>
      <c r="F209" s="4" t="inlineStr">
        <is>
          <t>1000.00</t>
        </is>
      </c>
    </row>
    <row collapsed="false" customFormat="false" customHeight="false" hidden="false" ht="12.1" outlineLevel="0" r="210">
      <c r="A210" s="5" t="s">
        <f>=HYPERLINK("https://www.leilaoonline.com.br/lote/detalhe/187144", "31107")</f>
      </c>
      <c r="B210" s="4" t="s">
        <f>=HYPERLINK("https://www.leilaoonline.com.br/lote/detalhe/187144", " SR/RANDON SRCA CA , ANO 2008/2008, AZUL, FR91186, LOC. JATAI ")</f>
      </c>
      <c r="C210" s="4" t="inlineStr">
        <is>
          <t>Não vendido</t>
        </is>
      </c>
      <c r="D210" s="4" t="inlineStr">
        <is>
          <t>1</t>
        </is>
      </c>
      <c r="E210" s="5" t="inlineStr">
        <is>
          <t>20.000,00</t>
        </is>
      </c>
      <c r="F210" s="4" t="inlineStr">
        <is>
          <t>1000.00</t>
        </is>
      </c>
    </row>
    <row collapsed="false" customFormat="false" customHeight="false" hidden="false" ht="12.1" outlineLevel="0" r="211">
      <c r="A211" s="5" t="s">
        <f>=HYPERLINK("https://www.leilaoonline.com.br/lote/detalhe/187143", "31108")</f>
      </c>
      <c r="B211" s="4" t="s">
        <f>=HYPERLINK("https://www.leilaoonline.com.br/lote/detalhe/187143", " SR/RANDON SRCA CA, ANO 2008/2008, AZUL, FR96237, LOC. JATAI ")</f>
      </c>
      <c r="C211" s="4" t="inlineStr">
        <is>
          <t>Não vendido</t>
        </is>
      </c>
      <c r="D211" s="4" t="inlineStr">
        <is>
          <t>1</t>
        </is>
      </c>
      <c r="E211" s="5" t="inlineStr">
        <is>
          <t>20.000,00</t>
        </is>
      </c>
      <c r="F211" s="4" t="inlineStr">
        <is>
          <t>1000.00</t>
        </is>
      </c>
    </row>
    <row collapsed="false" customFormat="false" customHeight="false" hidden="false" ht="12.1" outlineLevel="0" r="212">
      <c r="A212" s="5" t="s">
        <f>=HYPERLINK("https://www.leilaoonline.com.br/lote/detalhe/187171", "31110")</f>
      </c>
      <c r="B212" s="4" t="s">
        <f>=HYPERLINK("https://www.leilaoonline.com.br/lote/detalhe/187171", " 32 CONTAINER PLÁSTICO (IBC 100 LTS) QD APROXIMADA, LOC. JATAI 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3.000,00</t>
        </is>
      </c>
      <c r="F212" s="4" t="inlineStr">
        <is>
          <t>250.00</t>
        </is>
      </c>
    </row>
    <row collapsed="false" customFormat="false" customHeight="false" hidden="false" ht="12.1" outlineLevel="0" r="213">
      <c r="A213" s="5" t="s">
        <f>=HYPERLINK("https://www.leilaoonline.com.br/lote/detalhe/187188", "31111")</f>
      </c>
      <c r="B213" s="4" t="s">
        <f>=HYPERLINK("https://www.leilaoonline.com.br/lote/detalhe/187188", " CARDAN, MAQUINA DE SOLDA, TRUCK DE COLHEDORAS, RADIADORES, PIVO, LOC. JATAI ")</f>
      </c>
      <c r="C213" s="4" t="inlineStr">
        <is>
          <t>Não vendido</t>
        </is>
      </c>
      <c r="D213" s="4" t="inlineStr">
        <is>
          <t>1</t>
        </is>
      </c>
      <c r="E213" s="5" t="inlineStr">
        <is>
          <t>2.500,00</t>
        </is>
      </c>
      <c r="F213" s="4" t="inlineStr">
        <is>
          <t>150.00</t>
        </is>
      </c>
    </row>
    <row collapsed="false" customFormat="false" customHeight="false" hidden="false" ht="12.1" outlineLevel="0" r="214">
      <c r="A214" s="5" t="s">
        <f>=HYPERLINK("https://www.leilaoonline.com.br/lote/detalhe/187158", "31112")</f>
      </c>
      <c r="B214" s="4" t="s">
        <f>=HYPERLINK("https://www.leilaoonline.com.br/lote/detalhe/187158", " SUCATA ELETRONICA,70 REFLETORES/LUMINARIAS - VENDA POR LOTE A PRATELEIRA NÃO ESTA INCLUSO, LOC. JATAI ")</f>
      </c>
      <c r="C214" s="4" t="inlineStr">
        <is>
          <t>Não vendido</t>
        </is>
      </c>
      <c r="D214" s="4" t="inlineStr">
        <is>
          <t>1</t>
        </is>
      </c>
      <c r="E214" s="5" t="inlineStr">
        <is>
          <t>2.000,00</t>
        </is>
      </c>
      <c r="F214" s="4" t="inlineStr">
        <is>
          <t>250.00</t>
        </is>
      </c>
    </row>
    <row collapsed="false" customFormat="false" customHeight="false" hidden="false" ht="12.1" outlineLevel="0" r="215">
      <c r="A215" s="5" t="s">
        <f>=HYPERLINK("https://www.leilaoonline.com.br/lote/detalhe/187164", "31113")</f>
      </c>
      <c r="B215" s="4" t="s">
        <f>=HYPERLINK("https://www.leilaoonline.com.br/lote/detalhe/187164", " SUCATA DE FIOS DE COBRE, VENDA POR KG, PESO APROXIMDAMENTE 2 TON., LOC. JATAI")</f>
      </c>
      <c r="C215" s="4" t="inlineStr">
        <is>
          <t>Não vendido</t>
        </is>
      </c>
      <c r="D215" s="4" t="inlineStr">
        <is>
          <t>67</t>
        </is>
      </c>
      <c r="E215" s="5" t="inlineStr">
        <is>
          <t>29.000,00</t>
        </is>
      </c>
      <c r="F215" s="4" t="inlineStr">
        <is>
          <t>0.20</t>
        </is>
      </c>
    </row>
    <row collapsed="false" customFormat="false" customHeight="false" hidden="false" ht="12.1" outlineLevel="0" r="216">
      <c r="A216" s="5" t="s">
        <f>=HYPERLINK("https://www.leilaoonline.com.br/lote/detalhe/187180", "31114")</f>
      </c>
      <c r="B216" s="4" t="s">
        <f>=HYPERLINK("https://www.leilaoonline.com.br/lote/detalhe/187180", " MAQUINA PARA LIMPEZA DE FILTRO COR AMARELA, LOC. JATAI")</f>
      </c>
      <c r="C216" s="4" t="inlineStr">
        <is>
          <t>Não vendido</t>
        </is>
      </c>
      <c r="D216" s="4" t="inlineStr">
        <is>
          <t>1</t>
        </is>
      </c>
      <c r="E216" s="5" t="inlineStr">
        <is>
          <t>1.000,00</t>
        </is>
      </c>
      <c r="F216" s="4" t="inlineStr">
        <is>
          <t>250.00</t>
        </is>
      </c>
    </row>
    <row collapsed="false" customFormat="false" customHeight="false" hidden="false" ht="12.1" outlineLevel="0" r="217">
      <c r="A217" s="5" t="s">
        <f>=HYPERLINK("https://www.leilaoonline.com.br/lote/detalhe/187197", "31115")</f>
      </c>
      <c r="B217" s="4" t="s">
        <f>=HYPERLINK("https://www.leilaoonline.com.br/lote/detalhe/187197", " 1 ESCADA DE ALUMINIO, 1 CX D AGUA 155LTS, 1 CAPOTA E 1 TOLDO, LOC. JATAI")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1.000,00</t>
        </is>
      </c>
      <c r="F217" s="4" t="inlineStr">
        <is>
          <t>150.00</t>
        </is>
      </c>
    </row>
    <row collapsed="false" customFormat="false" customHeight="false" hidden="false" ht="12.1" outlineLevel="0" r="218">
      <c r="A218" s="5" t="s">
        <f>=HYPERLINK("https://www.leilaoonline.com.br/lote/detalhe/187161", "31116")</f>
      </c>
      <c r="B218" s="4" t="s">
        <f>=HYPERLINK("https://www.leilaoonline.com.br/lote/detalhe/187161", " TRATOR VALTRA, ANO 2016, FR188947, LOC. GASA ")</f>
      </c>
      <c r="C218" s="4" t="inlineStr">
        <is>
          <t>Vendido</t>
        </is>
      </c>
      <c r="D218" s="4" t="inlineStr">
        <is>
          <t>97</t>
        </is>
      </c>
      <c r="E218" s="5" t="inlineStr">
        <is>
          <t>147.000,00</t>
        </is>
      </c>
      <c r="F218" s="4" t="inlineStr">
        <is>
          <t>1000.00</t>
        </is>
      </c>
    </row>
    <row collapsed="false" customFormat="false" customHeight="false" hidden="false" ht="12.1" outlineLevel="0" r="219">
      <c r="A219" s="5" t="s">
        <f>=HYPERLINK("https://www.leilaoonline.com.br/lote/detalhe/187181", "31117")</f>
      </c>
      <c r="B219" s="4" t="s">
        <f>=HYPERLINK("https://www.leilaoonline.com.br/lote/detalhe/187181", " CAMINHÃO M.B AXOR 3344S6X4, ANO 2014/2014, FR362064, LOC. GASA ")</f>
      </c>
      <c r="C219" s="4" t="inlineStr">
        <is>
          <t>Vendido</t>
        </is>
      </c>
      <c r="D219" s="4" t="inlineStr">
        <is>
          <t>12</t>
        </is>
      </c>
      <c r="E219" s="5" t="inlineStr">
        <is>
          <t>56.000,00</t>
        </is>
      </c>
      <c r="F219" s="4" t="inlineStr">
        <is>
          <t>1000.00</t>
        </is>
      </c>
    </row>
    <row collapsed="false" customFormat="false" customHeight="false" hidden="false" ht="12.1" outlineLevel="0" r="220">
      <c r="A220" s="5" t="s">
        <f>=HYPERLINK("https://www.leilaoonline.com.br/lote/detalhe/187199", "31118")</f>
      </c>
      <c r="B220" s="4" t="s">
        <f>=HYPERLINK("https://www.leilaoonline.com.br/lote/detalhe/187199", " CAMINHÃO VW/15.180, EURO3, WORKER, ANO 2011/2012, BRANCA, FR88160, CARROC BAÚ (QUEIMADO) S/MOTOR/CÂMBIO/OUTROS, LOC. GASA ")</f>
      </c>
      <c r="C220" s="4" t="inlineStr">
        <is>
          <t>Vendido</t>
        </is>
      </c>
      <c r="D220" s="4" t="inlineStr">
        <is>
          <t>1</t>
        </is>
      </c>
      <c r="E220" s="5" t="inlineStr">
        <is>
          <t>25.000,00</t>
        </is>
      </c>
      <c r="F220" s="4" t="inlineStr">
        <is>
          <t>1000.00</t>
        </is>
      </c>
    </row>
    <row collapsed="false" customFormat="false" customHeight="false" hidden="false" ht="12.1" outlineLevel="0" r="221">
      <c r="A221" s="5" t="s">
        <f>=HYPERLINK("https://www.leilaoonline.com.br/lote/detalhe/187147", "31119")</f>
      </c>
      <c r="B221" s="4" t="s">
        <f>=HYPERLINK("https://www.leilaoonline.com.br/lote/detalhe/187147", " TRANSBORDO ATA 12T, ANO 2015, FR188708, LOC. GASA ")</f>
      </c>
      <c r="C221" s="4" t="inlineStr">
        <is>
          <t>Não vendido</t>
        </is>
      </c>
      <c r="D221" s="4" t="inlineStr">
        <is>
          <t>14</t>
        </is>
      </c>
      <c r="E221" s="5" t="inlineStr">
        <is>
          <t>22.000,00</t>
        </is>
      </c>
      <c r="F221" s="4" t="inlineStr">
        <is>
          <t>1000.00</t>
        </is>
      </c>
    </row>
    <row collapsed="false" customFormat="false" customHeight="false" hidden="false" ht="12.1" outlineLevel="0" r="222">
      <c r="A222" s="5" t="s">
        <f>=HYPERLINK("https://www.leilaoonline.com.br/lote/detalhe/187172", "31120")</f>
      </c>
      <c r="B222" s="4" t="s">
        <f>=HYPERLINK("https://www.leilaoonline.com.br/lote/detalhe/187172", " TRANSBORDO ATA 12T, ANO 2015, FR188725, LOC. GASA ")</f>
      </c>
      <c r="C222" s="4" t="inlineStr">
        <is>
          <t>Não vendido</t>
        </is>
      </c>
      <c r="D222" s="4" t="inlineStr">
        <is>
          <t>10</t>
        </is>
      </c>
      <c r="E222" s="5" t="inlineStr">
        <is>
          <t>18.000,00</t>
        </is>
      </c>
      <c r="F222" s="4" t="inlineStr">
        <is>
          <t>1000.00</t>
        </is>
      </c>
    </row>
    <row collapsed="false" customFormat="false" customHeight="false" hidden="false" ht="12.1" outlineLevel="0" r="223">
      <c r="A223" s="5" t="s">
        <f>=HYPERLINK("https://www.leilaoonline.com.br/lote/detalhe/187202", "31121")</f>
      </c>
      <c r="B223" s="4" t="s">
        <f>=HYPERLINK("https://www.leilaoonline.com.br/lote/detalhe/187202", " TRATOR VALTRA BT 190, ANO 2013, FR88469, LOC. GASA")</f>
      </c>
      <c r="C223" s="4" t="inlineStr">
        <is>
          <t>Vendido</t>
        </is>
      </c>
      <c r="D223" s="4" t="inlineStr">
        <is>
          <t>89</t>
        </is>
      </c>
      <c r="E223" s="5" t="inlineStr">
        <is>
          <t>135.000,00</t>
        </is>
      </c>
      <c r="F223" s="4" t="inlineStr">
        <is>
          <t>2000.00</t>
        </is>
      </c>
    </row>
    <row collapsed="false" customFormat="false" customHeight="false" hidden="false" ht="12.1" outlineLevel="0" r="224">
      <c r="A224" s="5" t="s">
        <f>=HYPERLINK("https://www.leilaoonline.com.br/lote/detalhe/187146", "31122")</f>
      </c>
      <c r="B224" s="4" t="s">
        <f>=HYPERLINK("https://www.leilaoonline.com.br/lote/detalhe/187146", " CAMINHÃO VW/15.180 EURO3 WORKER, ANO 2011/2011, BRANCA, FR163162.,( CARROC DE AÇO, S/CÂMBIO/OUTROS ), LOC. GASA ")</f>
      </c>
      <c r="C224" s="4" t="inlineStr">
        <is>
          <t>Vendido</t>
        </is>
      </c>
      <c r="D224" s="4" t="inlineStr">
        <is>
          <t>15</t>
        </is>
      </c>
      <c r="E224" s="5" t="inlineStr">
        <is>
          <t>44.000,00</t>
        </is>
      </c>
      <c r="F224" s="4" t="inlineStr">
        <is>
          <t>1000.00</t>
        </is>
      </c>
    </row>
    <row collapsed="false" customFormat="false" customHeight="false" hidden="false" ht="12.1" outlineLevel="0" r="225">
      <c r="A225" s="5" t="s">
        <f>=HYPERLINK("https://www.leilaoonline.com.br/lote/detalhe/187169", "31123")</f>
      </c>
      <c r="B225" s="4" t="s">
        <f>=HYPERLINK("https://www.leilaoonline.com.br/lote/detalhe/187169", " TRANSBORDO ATA 12T, ANO 2015, FR188727, LOC.GASA")</f>
      </c>
      <c r="C225" s="4" t="inlineStr">
        <is>
          <t>Vendido</t>
        </is>
      </c>
      <c r="D225" s="4" t="inlineStr">
        <is>
          <t>21</t>
        </is>
      </c>
      <c r="E225" s="5" t="inlineStr">
        <is>
          <t>27.500,00</t>
        </is>
      </c>
      <c r="F225" s="4" t="inlineStr">
        <is>
          <t>1000.00</t>
        </is>
      </c>
    </row>
    <row collapsed="false" customFormat="false" customHeight="false" hidden="false" ht="12.1" outlineLevel="0" r="226">
      <c r="A226" s="5" t="s">
        <f>=HYPERLINK("https://www.leilaoonline.com.br/lote/detalhe/187179", "31124")</f>
      </c>
      <c r="B226" s="4" t="s">
        <f>=HYPERLINK("https://www.leilaoonline.com.br/lote/detalhe/187179", " TRATOR VALTRA BT 190 C/ IMPLEMENTO, ANO 2014, FR88486/122371, LOC. GASA ")</f>
      </c>
      <c r="C226" s="4" t="inlineStr">
        <is>
          <t>Não vendido</t>
        </is>
      </c>
      <c r="D226" s="4" t="inlineStr">
        <is>
          <t>42</t>
        </is>
      </c>
      <c r="E226" s="5" t="inlineStr">
        <is>
          <t>51.000,00</t>
        </is>
      </c>
      <c r="F226" s="4" t="inlineStr">
        <is>
          <t>1000.00</t>
        </is>
      </c>
    </row>
    <row collapsed="false" customFormat="false" customHeight="false" hidden="false" ht="12.1" outlineLevel="0" r="227">
      <c r="A227" s="5" t="s">
        <f>=HYPERLINK("https://www.leilaoonline.com.br/lote/detalhe/187156", "31125")</f>
      </c>
      <c r="B227" s="4" t="s">
        <f>=HYPERLINK("https://www.leilaoonline.com.br/lote/detalhe/187156", " CAMINHÃO VW/31.320 CNC 6X4, ANO 2010/2010, BRANCA , FR88171, CARROC. BAZUCA E MUNCK,  LOC. GASA ")</f>
      </c>
      <c r="C227" s="4" t="inlineStr">
        <is>
          <t>Vendido</t>
        </is>
      </c>
      <c r="D227" s="4" t="inlineStr">
        <is>
          <t>115</t>
        </is>
      </c>
      <c r="E227" s="5" t="inlineStr">
        <is>
          <t>149.000,00</t>
        </is>
      </c>
      <c r="F227" s="4" t="inlineStr">
        <is>
          <t>1000.00</t>
        </is>
      </c>
    </row>
    <row collapsed="false" customFormat="false" customHeight="false" hidden="false" ht="12.1" outlineLevel="0" r="228">
      <c r="A228" s="5" t="s">
        <f>=HYPERLINK("https://www.leilaoonline.com.br/lote/detalhe/187142", "31126")</f>
      </c>
      <c r="B228" s="4" t="s">
        <f>=HYPERLINK("https://www.leilaoonline.com.br/lote/detalhe/187142", " TRANSBORDO ATA 12T, ANO 2015, FR188721, LOC. GASA")</f>
      </c>
      <c r="C228" s="4" t="inlineStr">
        <is>
          <t>Não vendido</t>
        </is>
      </c>
      <c r="D228" s="4" t="inlineStr">
        <is>
          <t>13</t>
        </is>
      </c>
      <c r="E228" s="5" t="inlineStr">
        <is>
          <t>21.500,00</t>
        </is>
      </c>
      <c r="F228" s="4" t="inlineStr">
        <is>
          <t>1000.00</t>
        </is>
      </c>
    </row>
    <row collapsed="false" customFormat="false" customHeight="false" hidden="false" ht="12.1" outlineLevel="0" r="229">
      <c r="A229" s="5" t="s">
        <f>=HYPERLINK("https://www.leilaoonline.com.br/lote/detalhe/187194", "31128")</f>
      </c>
      <c r="B229" s="4" t="s">
        <f>=HYPERLINK("https://www.leilaoonline.com.br/lote/detalhe/187194", " TRATOR VALTRA BT 210, ANO 2016, FR188952, LOC. GASA ")</f>
      </c>
      <c r="C229" s="4" t="inlineStr">
        <is>
          <t>Vendido</t>
        </is>
      </c>
      <c r="D229" s="4" t="inlineStr">
        <is>
          <t>111</t>
        </is>
      </c>
      <c r="E229" s="5" t="inlineStr">
        <is>
          <t>173.000,00</t>
        </is>
      </c>
      <c r="F229" s="4" t="inlineStr">
        <is>
          <t>2000.00</t>
        </is>
      </c>
    </row>
    <row collapsed="false" customFormat="false" customHeight="false" hidden="false" ht="12.1" outlineLevel="0" r="230">
      <c r="A230" s="5" t="s">
        <f>=HYPERLINK("https://www.leilaoonline.com.br/lote/detalhe/187178", "31129")</f>
      </c>
      <c r="B230" s="4" t="s">
        <f>=HYPERLINK("https://www.leilaoonline.com.br/lote/detalhe/187178", " TRATOR CASE MAGNUM 235, ANO 2014, FR90958, LOC. GASA ")</f>
      </c>
      <c r="C230" s="4" t="inlineStr">
        <is>
          <t>Não vendido</t>
        </is>
      </c>
      <c r="D230" s="4" t="inlineStr">
        <is>
          <t>69</t>
        </is>
      </c>
      <c r="E230" s="5" t="inlineStr">
        <is>
          <t>103.000,00</t>
        </is>
      </c>
      <c r="F230" s="4" t="inlineStr">
        <is>
          <t>1000.00</t>
        </is>
      </c>
    </row>
    <row collapsed="false" customFormat="false" customHeight="false" hidden="false" ht="12.1" outlineLevel="0" r="231">
      <c r="A231" s="5" t="s">
        <f>=HYPERLINK("https://www.leilaoonline.com.br/lote/detalhe/187141", "31130")</f>
      </c>
      <c r="B231" s="4" t="s">
        <f>=HYPERLINK("https://www.leilaoonline.com.br/lote/detalhe/187141", " CAMINHÃO M.BENZ/ AXOR 3344S6X4, ANO 2014/2014, BRANCA, FR10656, LOC. GASA ")</f>
      </c>
      <c r="C231" s="4" t="inlineStr">
        <is>
          <t>Vendido</t>
        </is>
      </c>
      <c r="D231" s="4" t="inlineStr">
        <is>
          <t>37</t>
        </is>
      </c>
      <c r="E231" s="5" t="inlineStr">
        <is>
          <t>81.000,00</t>
        </is>
      </c>
      <c r="F231" s="4" t="inlineStr">
        <is>
          <t>1000.00</t>
        </is>
      </c>
    </row>
    <row collapsed="false" customFormat="false" customHeight="false" hidden="false" ht="12.1" outlineLevel="0" r="232">
      <c r="A232" s="5" t="s">
        <f>=HYPERLINK("https://www.leilaoonline.com.br/lote/detalhe/187182", "31132")</f>
      </c>
      <c r="B232" s="4" t="s">
        <f>=HYPERLINK("https://www.leilaoonline.com.br/lote/detalhe/187182", " TRATOR VALTRA BT 190, ANO 2014, FR88498, LOC.GASA ")</f>
      </c>
      <c r="C232" s="4" t="inlineStr">
        <is>
          <t>Vendido</t>
        </is>
      </c>
      <c r="D232" s="4" t="inlineStr">
        <is>
          <t>106</t>
        </is>
      </c>
      <c r="E232" s="5" t="inlineStr">
        <is>
          <t>140.000,00</t>
        </is>
      </c>
      <c r="F232" s="4" t="inlineStr">
        <is>
          <t>1000.00</t>
        </is>
      </c>
    </row>
    <row collapsed="false" customFormat="false" customHeight="false" hidden="false" ht="12.1" outlineLevel="0" r="233">
      <c r="A233" s="5" t="s">
        <f>=HYPERLINK("https://www.leilaoonline.com.br/lote/detalhe/187186", "31135")</f>
      </c>
      <c r="B233" s="4" t="s">
        <f>=HYPERLINK("https://www.leilaoonline.com.br/lote/detalhe/187186", " TRANSBORDO ATA 12T,ANO 2015, FR112646, LOC.MUNDIAL")</f>
      </c>
      <c r="C233" s="4" t="inlineStr">
        <is>
          <t>Vendido</t>
        </is>
      </c>
      <c r="D233" s="4" t="inlineStr">
        <is>
          <t>28</t>
        </is>
      </c>
      <c r="E233" s="5" t="inlineStr">
        <is>
          <t>34.500,00</t>
        </is>
      </c>
      <c r="F233" s="4" t="inlineStr">
        <is>
          <t>1000.00</t>
        </is>
      </c>
    </row>
    <row collapsed="false" customFormat="false" customHeight="false" hidden="false" ht="12.1" outlineLevel="0" r="234">
      <c r="A234" s="5" t="s">
        <f>=HYPERLINK("https://www.leilaoonline.com.br/lote/detalhe/187209", "31136")</f>
      </c>
      <c r="B234" s="4" t="s">
        <f>=HYPERLINK("https://www.leilaoonline.com.br/lote/detalhe/187209", " TRANSBORDO ATA 12T, ANO 2015, FR112647, LOC.MUNDIAL")</f>
      </c>
      <c r="C234" s="4" t="inlineStr">
        <is>
          <t>Vendido</t>
        </is>
      </c>
      <c r="D234" s="4" t="inlineStr">
        <is>
          <t>26</t>
        </is>
      </c>
      <c r="E234" s="5" t="inlineStr">
        <is>
          <t>35.000,00</t>
        </is>
      </c>
      <c r="F234" s="4" t="inlineStr">
        <is>
          <t>1000.00</t>
        </is>
      </c>
    </row>
    <row collapsed="false" customFormat="false" customHeight="false" hidden="false" ht="12.1" outlineLevel="0" r="235">
      <c r="A235" s="5" t="s">
        <f>=HYPERLINK("https://www.leilaoonline.com.br/lote/detalhe/187176", "31137")</f>
      </c>
      <c r="B235" s="4" t="s">
        <f>=HYPERLINK("https://www.leilaoonline.com.br/lote/detalhe/187176", " TRANSBORDO ATA 12T,ANO 2012, FR93870, LOC. MUNDIAL")</f>
      </c>
      <c r="C235" s="4" t="inlineStr">
        <is>
          <t>Vendido</t>
        </is>
      </c>
      <c r="D235" s="4" t="inlineStr">
        <is>
          <t>5</t>
        </is>
      </c>
      <c r="E235" s="5" t="inlineStr">
        <is>
          <t>15.000,00</t>
        </is>
      </c>
      <c r="F235" s="4" t="inlineStr">
        <is>
          <t>1000.00</t>
        </is>
      </c>
    </row>
    <row collapsed="false" customFormat="false" customHeight="false" hidden="false" ht="12.1" outlineLevel="0" r="236">
      <c r="A236" s="5" t="s">
        <f>=HYPERLINK("https://www.leilaoonline.com.br/lote/detalhe/187154", "31138")</f>
      </c>
      <c r="B236" s="4" t="s">
        <f>=HYPERLINK("https://www.leilaoonline.com.br/lote/detalhe/187154", " TRANSBORDO ATA 12T, ANO 2012, FR112445, LOC. MUNDIAL ")</f>
      </c>
      <c r="C236" s="4" t="inlineStr">
        <is>
          <t>Não vendido</t>
        </is>
      </c>
      <c r="D236" s="4" t="inlineStr">
        <is>
          <t>3</t>
        </is>
      </c>
      <c r="E236" s="5" t="inlineStr">
        <is>
          <t>13.000,00</t>
        </is>
      </c>
      <c r="F236" s="4" t="inlineStr">
        <is>
          <t>1000.00</t>
        </is>
      </c>
    </row>
    <row collapsed="false" customFormat="false" customHeight="false" hidden="false" ht="12.1" outlineLevel="0" r="237">
      <c r="A237" s="5" t="s">
        <f>=HYPERLINK("https://www.leilaoonline.com.br/lote/detalhe/187173", "31140")</f>
      </c>
      <c r="B237" s="4" t="s">
        <f>=HYPERLINK("https://www.leilaoonline.com.br/lote/detalhe/187173", " TRATOR J.DEERE 7225J (SUCATEADO), ANO 2016, FR112336, LOC. MUNDIAL ")</f>
      </c>
      <c r="C237" s="4" t="inlineStr">
        <is>
          <t>Vendido</t>
        </is>
      </c>
      <c r="D237" s="4" t="inlineStr">
        <is>
          <t>37</t>
        </is>
      </c>
      <c r="E237" s="5" t="inlineStr">
        <is>
          <t>46.000,00</t>
        </is>
      </c>
      <c r="F237" s="4" t="inlineStr">
        <is>
          <t>1000.00</t>
        </is>
      </c>
    </row>
    <row collapsed="false" customFormat="false" customHeight="false" hidden="false" ht="12.1" outlineLevel="0" r="238">
      <c r="A238" s="5" t="s">
        <f>=HYPERLINK("https://www.leilaoonline.com.br/lote/detalhe/187184", "31142")</f>
      </c>
      <c r="B238" s="4" t="s">
        <f>=HYPERLINK("https://www.leilaoonline.com.br/lote/detalhe/187184", " TRATOR VALTRA BH 210, ANO 2015, FR188940, LOC. MUNDIAL ")</f>
      </c>
      <c r="C238" s="4" t="inlineStr">
        <is>
          <t>Não vendido</t>
        </is>
      </c>
      <c r="D238" s="4" t="inlineStr">
        <is>
          <t>44</t>
        </is>
      </c>
      <c r="E238" s="5" t="inlineStr">
        <is>
          <t>88.000,00</t>
        </is>
      </c>
      <c r="F238" s="4" t="inlineStr">
        <is>
          <t>1000.00</t>
        </is>
      </c>
    </row>
    <row collapsed="false" customFormat="false" customHeight="false" hidden="false" ht="12.1" outlineLevel="0" r="239">
      <c r="A239" s="5" t="s">
        <f>=HYPERLINK("https://www.leilaoonline.com.br/lote/detalhe/187191", "31145")</f>
      </c>
      <c r="B239" s="4" t="s">
        <f>=HYPERLINK("https://www.leilaoonline.com.br/lote/detalhe/187191", " RETRO ESCAVADEIRA CAT 416E, ANO 2006, FR81620, LOC.UNIVALEM ")</f>
      </c>
      <c r="C239" s="4" t="inlineStr">
        <is>
          <t>Vendido</t>
        </is>
      </c>
      <c r="D239" s="4" t="inlineStr">
        <is>
          <t>62</t>
        </is>
      </c>
      <c r="E239" s="5" t="inlineStr">
        <is>
          <t>103.666,66</t>
        </is>
      </c>
      <c r="F239" s="4" t="inlineStr">
        <is>
          <t>1000.00</t>
        </is>
      </c>
    </row>
    <row collapsed="false" customFormat="false" customHeight="false" hidden="false" ht="12.1" outlineLevel="0" r="240">
      <c r="A240" s="5" t="s">
        <f>=HYPERLINK("https://www.leilaoonline.com.br/lote/detalhe/187203", "31146")</f>
      </c>
      <c r="B240" s="4" t="s">
        <f>=HYPERLINK("https://www.leilaoonline.com.br/lote/detalhe/187203", " ONIBUS M.BENZ/OF 1315, ANO 1992/1992, BEGE , FR81351, LOC. UNIVALEM ")</f>
      </c>
      <c r="C240" s="4" t="inlineStr">
        <is>
          <t>Vendido</t>
        </is>
      </c>
      <c r="D240" s="4" t="inlineStr">
        <is>
          <t>9</t>
        </is>
      </c>
      <c r="E240" s="5" t="inlineStr">
        <is>
          <t>16.000,00</t>
        </is>
      </c>
      <c r="F240" s="4" t="inlineStr">
        <is>
          <t>500.00</t>
        </is>
      </c>
    </row>
    <row collapsed="false" customFormat="false" customHeight="false" hidden="false" ht="12.1" outlineLevel="0" r="241">
      <c r="A241" s="5" t="s">
        <f>=HYPERLINK("https://www.leilaoonline.com.br/lote/detalhe/187140", "31147")</f>
      </c>
      <c r="B241" s="4" t="s">
        <f>=HYPERLINK("https://www.leilaoonline.com.br/lote/detalhe/187140", " TRANSBORDO SANTAL,  12T, ANO 2014, FR81626, LOC. UNIVALEM")</f>
      </c>
      <c r="C241" s="4" t="inlineStr">
        <is>
          <t>Vendido</t>
        </is>
      </c>
      <c r="D241" s="4" t="inlineStr">
        <is>
          <t>8</t>
        </is>
      </c>
      <c r="E241" s="5" t="inlineStr">
        <is>
          <t>17.000,00</t>
        </is>
      </c>
      <c r="F241" s="4" t="inlineStr">
        <is>
          <t>1000.00</t>
        </is>
      </c>
    </row>
    <row collapsed="false" customFormat="false" customHeight="false" hidden="false" ht="12.1" outlineLevel="0" r="242">
      <c r="A242" s="5" t="s">
        <f>=HYPERLINK("https://www.leilaoonline.com.br/lote/detalhe/187145", "31148")</f>
      </c>
      <c r="B242" s="4" t="s">
        <f>=HYPERLINK("https://www.leilaoonline.com.br/lote/detalhe/187145", " CAMINHÃO VW/31.320 CNC 6X4, ANO 2010/2010,BRANCA, FR81495, CARROC. TRANSBORDO, LOC. UNIVALEM ")</f>
      </c>
      <c r="C242" s="4" t="inlineStr">
        <is>
          <t>Vendido</t>
        </is>
      </c>
      <c r="D242" s="4" t="inlineStr">
        <is>
          <t>68</t>
        </is>
      </c>
      <c r="E242" s="5" t="inlineStr">
        <is>
          <t>113.000,00</t>
        </is>
      </c>
      <c r="F242" s="4" t="inlineStr">
        <is>
          <t>1000.00</t>
        </is>
      </c>
    </row>
    <row collapsed="false" customFormat="false" customHeight="false" hidden="false" ht="12.1" outlineLevel="0" r="243">
      <c r="A243" s="5" t="s">
        <f>=HYPERLINK("https://www.leilaoonline.com.br/lote/detalhe/187167", "31149")</f>
      </c>
      <c r="B243" s="4" t="s">
        <f>=HYPERLINK("https://www.leilaoonline.com.br/lote/detalhe/187167", " TRATOR CASE MAGNUM 235, ANO 2014, FR81799, LOC. UNIVALEM")</f>
      </c>
      <c r="C243" s="4" t="inlineStr">
        <is>
          <t>Não vendido</t>
        </is>
      </c>
      <c r="D243" s="4" t="inlineStr">
        <is>
          <t>61</t>
        </is>
      </c>
      <c r="E243" s="5" t="inlineStr">
        <is>
          <t>95.000,00</t>
        </is>
      </c>
      <c r="F243" s="4" t="inlineStr">
        <is>
          <t>1000.00</t>
        </is>
      </c>
    </row>
    <row collapsed="false" customFormat="false" customHeight="false" hidden="false" ht="12.1" outlineLevel="0" r="244">
      <c r="A244" s="5" t="s">
        <f>=HYPERLINK("https://www.leilaoonline.com.br/lote/detalhe/187159", "31150")</f>
      </c>
      <c r="B244" s="4" t="s">
        <f>=HYPERLINK("https://www.leilaoonline.com.br/lote/detalhe/187159", " TRANBORDO ATA, ANO 2012, FR81344, LOC.UNIVALEM ")</f>
      </c>
      <c r="C244" s="4" t="inlineStr">
        <is>
          <t>Vendido</t>
        </is>
      </c>
      <c r="D244" s="4" t="inlineStr">
        <is>
          <t>21</t>
        </is>
      </c>
      <c r="E244" s="5" t="inlineStr">
        <is>
          <t>30.000,00</t>
        </is>
      </c>
      <c r="F244" s="4" t="inlineStr">
        <is>
          <t>1000.00</t>
        </is>
      </c>
    </row>
    <row collapsed="false" customFormat="false" customHeight="false" hidden="false" ht="12.1" outlineLevel="0" r="245">
      <c r="A245" s="5" t="s">
        <f>=HYPERLINK("https://www.leilaoonline.com.br/lote/detalhe/187183", "31151")</f>
      </c>
      <c r="B245" s="4" t="s">
        <f>=HYPERLINK("https://www.leilaoonline.com.br/lote/detalhe/187183", " DISTRIBUIDORA DE TORTA, FR103061, LOC. UNIVALEM")</f>
      </c>
      <c r="C245" s="4" t="inlineStr">
        <is>
          <t>Não vendido</t>
        </is>
      </c>
      <c r="D245" s="4" t="inlineStr">
        <is>
          <t>2</t>
        </is>
      </c>
      <c r="E245" s="5" t="inlineStr">
        <is>
          <t>5.250,00</t>
        </is>
      </c>
      <c r="F245" s="4" t="inlineStr">
        <is>
          <t>250.00</t>
        </is>
      </c>
    </row>
    <row collapsed="false" customFormat="false" customHeight="false" hidden="false" ht="12.1" outlineLevel="0" r="246">
      <c r="A246" s="5" t="s">
        <f>=HYPERLINK("https://www.leilaoonline.com.br/lote/detalhe/187162", "31152")</f>
      </c>
      <c r="B246" s="4" t="s">
        <f>=HYPERLINK("https://www.leilaoonline.com.br/lote/detalhe/187162", " TRATOR CASE MAGNUM 235,  ANO 2013, FR163500, LOC. UNIVALEM ")</f>
      </c>
      <c r="C246" s="4" t="inlineStr">
        <is>
          <t>Vendido</t>
        </is>
      </c>
      <c r="D246" s="4" t="inlineStr">
        <is>
          <t>7</t>
        </is>
      </c>
      <c r="E246" s="5" t="inlineStr">
        <is>
          <t>86.000,00</t>
        </is>
      </c>
      <c r="F246" s="4" t="inlineStr">
        <is>
          <t>1000.00</t>
        </is>
      </c>
    </row>
    <row collapsed="false" customFormat="false" customHeight="false" hidden="false" ht="12.1" outlineLevel="0" r="247">
      <c r="A247" s="5" t="s">
        <f>=HYPERLINK("https://www.leilaoonline.com.br/lote/detalhe/187175", "31153")</f>
      </c>
      <c r="B247" s="4" t="s">
        <f>=HYPERLINK("https://www.leilaoonline.com.br/lote/detalhe/187175", " TANQUE DE FIBRA, S/FR, LOC. UNIVALEM")</f>
      </c>
      <c r="C247" s="4" t="inlineStr">
        <is>
          <t>Não vendido</t>
        </is>
      </c>
      <c r="D247" s="4" t="inlineStr">
        <is>
          <t>1</t>
        </is>
      </c>
      <c r="E247" s="5" t="inlineStr">
        <is>
          <t>3.000,00</t>
        </is>
      </c>
      <c r="F247" s="4" t="inlineStr">
        <is>
          <t>250.00</t>
        </is>
      </c>
    </row>
    <row collapsed="false" customFormat="false" customHeight="false" hidden="false" ht="12.1" outlineLevel="0" r="248">
      <c r="A248" s="5" t="s">
        <f>=HYPERLINK("https://www.leilaoonline.com.br/lote/detalhe/187200", "31154")</f>
      </c>
      <c r="B248" s="4" t="s">
        <f>=HYPERLINK("https://www.leilaoonline.com.br/lote/detalhe/187200", " CARRETA DE TORTA, S/FR, LOC.UNIVALEM")</f>
      </c>
      <c r="C248" s="4" t="inlineStr">
        <is>
          <t>Vendido</t>
        </is>
      </c>
      <c r="D248" s="4" t="inlineStr">
        <is>
          <t>3</t>
        </is>
      </c>
      <c r="E248" s="5" t="inlineStr">
        <is>
          <t>3.500,00</t>
        </is>
      </c>
      <c r="F248" s="4" t="inlineStr">
        <is>
          <t>250.00</t>
        </is>
      </c>
    </row>
    <row collapsed="false" customFormat="false" customHeight="false" hidden="false" ht="12.1" outlineLevel="0" r="249">
      <c r="A249" s="5" t="s">
        <f>=HYPERLINK("https://www.leilaoonline.com.br/lote/detalhe/187151", "31155")</f>
      </c>
      <c r="B249" s="4" t="s">
        <f>=HYPERLINK("https://www.leilaoonline.com.br/lote/detalhe/187151", " CARRETA TANQUE DE AÇO, FR84721, LOC. UNIVALEM")</f>
      </c>
      <c r="C249" s="4" t="inlineStr">
        <is>
          <t>Vendido</t>
        </is>
      </c>
      <c r="D249" s="4" t="inlineStr">
        <is>
          <t>42</t>
        </is>
      </c>
      <c r="E249" s="5" t="inlineStr">
        <is>
          <t>11.900,00</t>
        </is>
      </c>
      <c r="F249" s="4" t="inlineStr">
        <is>
          <t>500.00</t>
        </is>
      </c>
    </row>
    <row collapsed="false" customFormat="false" customHeight="false" hidden="false" ht="12.1" outlineLevel="0" r="250">
      <c r="A250" s="5" t="s">
        <f>=HYPERLINK("https://www.leilaoonline.com.br/lote/detalhe/187196", "31156")</f>
      </c>
      <c r="B250" s="4" t="s">
        <f>=HYPERLINK("https://www.leilaoonline.com.br/lote/detalhe/187196", " TRANSBORDO SANTAL 12T, ANO 2013, FR93861, LOC. UNIVALEM ")</f>
      </c>
      <c r="C250" s="4" t="inlineStr">
        <is>
          <t>Não vendido</t>
        </is>
      </c>
      <c r="D250" s="4" t="inlineStr">
        <is>
          <t>1</t>
        </is>
      </c>
      <c r="E250" s="5" t="inlineStr">
        <is>
          <t>11.000,00</t>
        </is>
      </c>
      <c r="F250" s="4" t="inlineStr">
        <is>
          <t>1000.00</t>
        </is>
      </c>
    </row>
    <row collapsed="false" customFormat="false" customHeight="false" hidden="false" ht="12.1" outlineLevel="0" r="251">
      <c r="A251" s="5" t="s">
        <f>=HYPERLINK("https://www.leilaoonline.com.br/lote/detalhe/187201", "31158")</f>
      </c>
      <c r="B251" s="4" t="s">
        <f>=HYPERLINK("https://www.leilaoonline.com.br/lote/detalhe/187201", " TRANSBORDO SANTAL,12T, ANO 2014, FR84619, LOC. UNIVALEM ")</f>
      </c>
      <c r="C251" s="4" t="inlineStr">
        <is>
          <t>Vendido</t>
        </is>
      </c>
      <c r="D251" s="4" t="inlineStr">
        <is>
          <t>22</t>
        </is>
      </c>
      <c r="E251" s="5" t="inlineStr">
        <is>
          <t>29.500,00</t>
        </is>
      </c>
      <c r="F251" s="4" t="inlineStr">
        <is>
          <t>1000.00</t>
        </is>
      </c>
    </row>
    <row collapsed="false" customFormat="false" customHeight="false" hidden="false" ht="12.1" outlineLevel="0" r="252">
      <c r="A252" s="5" t="s">
        <f>=HYPERLINK("https://www.leilaoonline.com.br/lote/detalhe/187177", "31163")</f>
      </c>
      <c r="B252" s="4" t="s">
        <f>=HYPERLINK("https://www.leilaoonline.com.br/lote/detalhe/187177", " TRATOR CASE MAGNUM 235, ANO 2014, FR81517, LOC. UNIVALEM")</f>
      </c>
      <c r="C252" s="4" t="inlineStr">
        <is>
          <t>Vendido</t>
        </is>
      </c>
      <c r="D252" s="4" t="inlineStr">
        <is>
          <t>56</t>
        </is>
      </c>
      <c r="E252" s="5" t="inlineStr">
        <is>
          <t>90.000,00</t>
        </is>
      </c>
      <c r="F252" s="4" t="inlineStr">
        <is>
          <t>1000.00</t>
        </is>
      </c>
    </row>
    <row collapsed="false" customFormat="false" customHeight="false" hidden="false" ht="12.1" outlineLevel="0" r="253">
      <c r="A253" s="5" t="s">
        <f>=HYPERLINK("https://www.leilaoonline.com.br/lote/detalhe/187165", "31164")</f>
      </c>
      <c r="B253" s="4" t="s">
        <f>=HYPERLINK("https://www.leilaoonline.com.br/lote/detalhe/187165", " 4 GELADEIRA, 1 FOGÃO 4 BOCAS, 15 CADEIRAS, 4 VENTILADORES E 10 PARTES DE AR COND., S/FR, LOC. UNIVALEM 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3.000,00</t>
        </is>
      </c>
      <c r="F253" s="4" t="inlineStr">
        <is>
          <t>150.00</t>
        </is>
      </c>
    </row>
    <row collapsed="false" customFormat="false" customHeight="false" hidden="false" ht="12.1" outlineLevel="0" r="254">
      <c r="A254" s="5" t="s">
        <f>=HYPERLINK("https://www.leilaoonline.com.br/lote/detalhe/187208", "31165")</f>
      </c>
      <c r="B254" s="4" t="s">
        <f>=HYPERLINK("https://www.leilaoonline.com.br/lote/detalhe/187208", " 2 ESTUFAS E 1 MIX, S/FR, LOC. UNIVALEM 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2.500,00</t>
        </is>
      </c>
      <c r="F254" s="4" t="inlineStr">
        <is>
          <t>150.00</t>
        </is>
      </c>
    </row>
    <row collapsed="false" customFormat="false" customHeight="false" hidden="false" ht="12.1" outlineLevel="0" r="255">
      <c r="A255" s="5" t="s">
        <f>=HYPERLINK("https://www.leilaoonline.com.br/lote/detalhe/187187", "31166")</f>
      </c>
      <c r="B255" s="4" t="s">
        <f>=HYPERLINK("https://www.leilaoonline.com.br/lote/detalhe/187187", " 4 LIQUIFICADORES E 1 ESCORREDOR DE ARROZ, S/FR, LOC. UNIVALEM ")</f>
      </c>
      <c r="C255" s="4" t="inlineStr">
        <is>
          <t>Vendido</t>
        </is>
      </c>
      <c r="D255" s="4" t="inlineStr">
        <is>
          <t>1</t>
        </is>
      </c>
      <c r="E255" s="5" t="inlineStr">
        <is>
          <t>500,00</t>
        </is>
      </c>
      <c r="F255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2026-04-30T10:34:05.00Z</dcterms:created>
  <dc:creator>Tellks Tecnologia</dc:creator>
  <cp:revision>0</cp:revision>
</cp:coreProperties>
</file>