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20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200 LOTES - 23 CAMINHÕES: 4 VOLVO FM 500 2013 - 17 TRATORES - 20 REBOQUES/SEMI - TRANSBORD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18/12/2024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Eduardo Jordao Boyadjian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=HYPERLINK("https://www.leilaoonline.com.br/lote/detalhe/259230", "10147")</f>
      </c>
      <c r="B11" s="4" t="s">
        <f>=HYPERLINK("https://www.leilaoonline.com.br/lote/detalhe/259230", "PLANTADORA ANTONIOSI DT1102; ANO 2018. - FR20898. - LOC. SERRA")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10.000,00</t>
        </is>
      </c>
      <c r="F11" s="4" t="inlineStr">
        <is>
          <t>1000.00</t>
        </is>
      </c>
    </row>
    <row collapsed="false" customFormat="false" customHeight="false" hidden="false" ht="12.1" outlineLevel="0" r="12">
      <c r="A12" s="5" t="s">
        <f>=HYPERLINK("https://www.leilaoonline.com.br/lote/detalhe/259865", "10207")</f>
      </c>
      <c r="B12" s="4" t="s">
        <f>=HYPERLINK("https://www.leilaoonline.com.br/lote/detalhe/259865", " LOTE DE SUCATA DE PNEUS E RODAS (APROX. 36 PEÇAS). - S/FR. - LOC. VALE DO ROSÁRIO ")</f>
      </c>
      <c r="C12" s="4" t="inlineStr">
        <is>
          <t>Não vendido</t>
        </is>
      </c>
      <c r="D12" s="4" t="inlineStr">
        <is>
          <t>7</t>
        </is>
      </c>
      <c r="E12" s="5" t="inlineStr">
        <is>
          <t>4.000,00</t>
        </is>
      </c>
      <c r="F12" s="4" t="inlineStr">
        <is>
          <t>250.00</t>
        </is>
      </c>
    </row>
    <row collapsed="false" customFormat="false" customHeight="false" hidden="false" ht="12.1" outlineLevel="0" r="13">
      <c r="A13" s="5" t="s">
        <f>=HYPERLINK("https://www.leilaoonline.com.br/lote/detalhe/259252", "10273")</f>
      </c>
      <c r="B13" s="4" t="s">
        <f>=HYPERLINK("https://www.leilaoonline.com.br/lote/detalhe/259252", " CAMINHÃO VOLKSWAGEN 15.180 EURO3 WORKER; ANO 2011/2012; BRANCA. - (VENDA SOMENTE PARA COMPRADORES DO ESTADO DE SÃO PAULO). - FR81307. - LOC.UNIVALEM ")</f>
      </c>
      <c r="C13" s="4" t="inlineStr">
        <is>
          <t>Vendido</t>
        </is>
      </c>
      <c r="D13" s="4" t="inlineStr">
        <is>
          <t>39</t>
        </is>
      </c>
      <c r="E13" s="5" t="inlineStr">
        <is>
          <t>70.000,00</t>
        </is>
      </c>
      <c r="F13" s="4" t="inlineStr">
        <is>
          <t>1000.00</t>
        </is>
      </c>
    </row>
    <row collapsed="false" customFormat="false" customHeight="false" hidden="false" ht="12.1" outlineLevel="0" r="14">
      <c r="A14" s="5" t="s">
        <f>=HYPERLINK("https://www.leilaoonline.com.br/lote/detalhe/260040", "10320")</f>
      </c>
      <c r="B14" s="4" t="s">
        <f>=HYPERLINK("https://www.leilaoonline.com.br/lote/detalhe/260040", "TRATOR CASE PUMA 200 4X4; ANO 2016. - FR512060. - LOC. DIAMANTE")</f>
      </c>
      <c r="C14" s="4" t="inlineStr">
        <is>
          <t>Não vendido</t>
        </is>
      </c>
      <c r="D14" s="4" t="inlineStr">
        <is>
          <t>78</t>
        </is>
      </c>
      <c r="E14" s="5" t="inlineStr">
        <is>
          <t>98.000,00</t>
        </is>
      </c>
      <c r="F14" s="4" t="inlineStr">
        <is>
          <t>1000.00</t>
        </is>
      </c>
    </row>
    <row collapsed="false" customFormat="false" customHeight="false" hidden="false" ht="12.1" outlineLevel="0" r="15">
      <c r="A15" s="5" t="s">
        <f>=HYPERLINK("https://www.leilaoonline.com.br/lote/detalhe/260033", "10321")</f>
      </c>
      <c r="B15" s="4" t="s">
        <f>=HYPERLINK("https://www.leilaoonline.com.br/lote/detalhe/260033", "TRATOR CASE II 200; ANO 2017. - FR512044. - LOC. DIAMANTE")</f>
      </c>
      <c r="C15" s="4" t="inlineStr">
        <is>
          <t>Não vendido</t>
        </is>
      </c>
      <c r="D15" s="4" t="inlineStr">
        <is>
          <t>59</t>
        </is>
      </c>
      <c r="E15" s="5" t="inlineStr">
        <is>
          <t>78.000,00</t>
        </is>
      </c>
      <c r="F15" s="4" t="inlineStr">
        <is>
          <t>1000.00</t>
        </is>
      </c>
    </row>
    <row collapsed="false" customFormat="false" customHeight="false" hidden="false" ht="12.1" outlineLevel="0" r="16">
      <c r="A16" s="5" t="s">
        <f>=HYPERLINK("https://www.leilaoonline.com.br/lote/detalhe/259795", "10365")</f>
      </c>
      <c r="B16" s="4" t="s">
        <f>=HYPERLINK("https://www.leilaoonline.com.br/lote/detalhe/259795", "LOTE DE 04 CAÇAMBAS. - S/FR. - LOC.RAFARD")</f>
      </c>
      <c r="C16" s="4" t="inlineStr">
        <is>
          <t>Vendido</t>
        </is>
      </c>
      <c r="D16" s="4" t="inlineStr">
        <is>
          <t>17</t>
        </is>
      </c>
      <c r="E16" s="5" t="inlineStr">
        <is>
          <t>5.000,00</t>
        </is>
      </c>
      <c r="F16" s="4" t="inlineStr">
        <is>
          <t>250.00</t>
        </is>
      </c>
    </row>
    <row collapsed="false" customFormat="false" customHeight="false" hidden="false" ht="12.1" outlineLevel="0" r="17">
      <c r="A17" s="5" t="s">
        <f>=HYPERLINK("https://www.leilaoonline.com.br/lote/detalhe/259754", "10370")</f>
      </c>
      <c r="B17" s="4" t="s">
        <f>=HYPERLINK("https://www.leilaoonline.com.br/lote/detalhe/259754", "LOTE DE MOBILIÁRIOS (9 MESAS, 3 BALÇÕES E 6 ARMÁRIOS. - S/FR. - LOC.RAFARD")</f>
      </c>
      <c r="C17" s="4" t="inlineStr">
        <is>
          <t>Vendido</t>
        </is>
      </c>
      <c r="D17" s="4" t="inlineStr">
        <is>
          <t>1</t>
        </is>
      </c>
      <c r="E17" s="5" t="inlineStr">
        <is>
          <t>500,00</t>
        </is>
      </c>
      <c r="F17" s="4" t="inlineStr">
        <is>
          <t>100.00</t>
        </is>
      </c>
    </row>
    <row collapsed="false" customFormat="false" customHeight="false" hidden="false" ht="12.1" outlineLevel="0" r="18">
      <c r="A18" s="5" t="s">
        <f>=HYPERLINK("https://www.leilaoonline.com.br/lote/detalhe/259848", "10390")</f>
      </c>
      <c r="B18" s="4" t="s">
        <f>=HYPERLINK("https://www.leilaoonline.com.br/lote/detalhe/259848", "CARRETA ABRIGO ÁREA DE VIVÊNCIA PEQUENA; ANO 2012. - COR AZUL. - FR14004610. - LOC. SANTA ELISA")</f>
      </c>
      <c r="C18" s="4" t="inlineStr">
        <is>
          <t>Não vendido</t>
        </is>
      </c>
      <c r="D18" s="4" t="inlineStr">
        <is>
          <t>1</t>
        </is>
      </c>
      <c r="E18" s="5" t="inlineStr">
        <is>
          <t>1.000,00</t>
        </is>
      </c>
      <c r="F18" s="4" t="inlineStr">
        <is>
          <t>250.00</t>
        </is>
      </c>
    </row>
    <row collapsed="false" customFormat="false" customHeight="false" hidden="false" ht="12.1" outlineLevel="0" r="19">
      <c r="A19" s="5" t="s">
        <f>=HYPERLINK("https://www.leilaoonline.com.br/lote/detalhe/259857", "10391")</f>
      </c>
      <c r="B19" s="4" t="s">
        <f>=HYPERLINK("https://www.leilaoonline.com.br/lote/detalhe/259857", " CARRETA ABRIGO ÁREA DE VIVÊNCIA PEQUENA; COR AZUL. - S/FR. - LOC. SANTA ELISA ")</f>
      </c>
      <c r="C19" s="4" t="inlineStr">
        <is>
          <t>Vendido</t>
        </is>
      </c>
      <c r="D19" s="4" t="inlineStr">
        <is>
          <t>1</t>
        </is>
      </c>
      <c r="E19" s="5" t="inlineStr">
        <is>
          <t>1.000,00</t>
        </is>
      </c>
      <c r="F19" s="4" t="inlineStr">
        <is>
          <t>250.00</t>
        </is>
      </c>
    </row>
    <row collapsed="false" customFormat="false" customHeight="false" hidden="false" ht="12.1" outlineLevel="0" r="20">
      <c r="A20" s="5" t="s">
        <f>=HYPERLINK("https://www.leilaoonline.com.br/lote/detalhe/259849", "10393")</f>
      </c>
      <c r="B20" s="4" t="s">
        <f>=HYPERLINK("https://www.leilaoonline.com.br/lote/detalhe/259849", " REBOQUE RODOFORTSA RC 4E; ANO 2014/2014; AMARELA. - (VENDA SEM DOCUMENTO/ SOMENTE PARA COMPRADORES DO ESTADO DE SÃO PAULO). - FR3671. - LOC. MB")</f>
      </c>
      <c r="C20" s="4" t="inlineStr">
        <is>
          <t>Vendido</t>
        </is>
      </c>
      <c r="D20" s="4" t="inlineStr">
        <is>
          <t>8</t>
        </is>
      </c>
      <c r="E20" s="5" t="inlineStr">
        <is>
          <t>32.000,00</t>
        </is>
      </c>
      <c r="F20" s="4" t="inlineStr">
        <is>
          <t>1000.00</t>
        </is>
      </c>
    </row>
    <row collapsed="false" customFormat="false" customHeight="false" hidden="false" ht="12.1" outlineLevel="0" r="21">
      <c r="A21" s="5" t="s">
        <f>=HYPERLINK("https://www.leilaoonline.com.br/lote/detalhe/259846", "10394")</f>
      </c>
      <c r="B21" s="4" t="s">
        <f>=HYPERLINK("https://www.leilaoonline.com.br/lote/detalhe/259846", " CONCHA PÁ CARREGADEIRA. - S/FR. - LOC. MB")</f>
      </c>
      <c r="C21" s="4" t="inlineStr">
        <is>
          <t>Vendido</t>
        </is>
      </c>
      <c r="D21" s="4" t="inlineStr">
        <is>
          <t>1</t>
        </is>
      </c>
      <c r="E21" s="5" t="inlineStr">
        <is>
          <t>2.000,00</t>
        </is>
      </c>
      <c r="F21" s="4" t="inlineStr">
        <is>
          <t>250.00</t>
        </is>
      </c>
    </row>
    <row collapsed="false" customFormat="false" customHeight="false" hidden="false" ht="12.1" outlineLevel="0" r="22">
      <c r="A22" s="5" t="s">
        <f>=HYPERLINK("https://www.leilaoonline.com.br/lote/detalhe/259851", "10396")</f>
      </c>
      <c r="B22" s="4" t="s">
        <f>=HYPERLINK("https://www.leilaoonline.com.br/lote/detalhe/259851", " PRENSA N° 01 SANTAL MOD PH45T C/CAIXA ÓLEO, MOTOR, BOMBA E MANGUEIRAS. - S/FR. - LOC. VALE DO ROSÁRIO ")</f>
      </c>
      <c r="C22" s="4" t="inlineStr">
        <is>
          <t>Não vendido</t>
        </is>
      </c>
      <c r="D22" s="4" t="inlineStr">
        <is>
          <t>3</t>
        </is>
      </c>
      <c r="E22" s="5" t="inlineStr">
        <is>
          <t>6.000,00</t>
        </is>
      </c>
      <c r="F22" s="4" t="inlineStr">
        <is>
          <t>500.00</t>
        </is>
      </c>
    </row>
    <row collapsed="false" customFormat="false" customHeight="false" hidden="false" ht="12.1" outlineLevel="0" r="23">
      <c r="A23" s="5" t="s">
        <f>=HYPERLINK("https://www.leilaoonline.com.br/lote/detalhe/259868", "10399")</f>
      </c>
      <c r="B23" s="4" t="s">
        <f>=HYPERLINK("https://www.leilaoonline.com.br/lote/detalhe/259868", "CAMINHÃO VOLKSWAGEM 31.330 CRC 6X4; ANO 2020/2021; BRANCA. - FR11801310. -  (VENDA SEM DOCUMENTO/ SOMENTE PARA COMPRADORES DO ESTADO DE SÃO PAULO). -  LOC. VALE DO ROSÁRIO ")</f>
      </c>
      <c r="C23" s="4" t="inlineStr">
        <is>
          <t>Vendido</t>
        </is>
      </c>
      <c r="D23" s="4" t="inlineStr">
        <is>
          <t>22</t>
        </is>
      </c>
      <c r="E23" s="5" t="inlineStr">
        <is>
          <t>20.500,00</t>
        </is>
      </c>
      <c r="F23" s="4" t="inlineStr">
        <is>
          <t>500.00</t>
        </is>
      </c>
    </row>
    <row collapsed="false" customFormat="false" customHeight="false" hidden="false" ht="12.1" outlineLevel="0" r="24">
      <c r="A24" s="5" t="s">
        <f>=HYPERLINK("https://www.leilaoonline.com.br/lote/detalhe/259448", "10439")</f>
      </c>
      <c r="B24" s="4" t="s">
        <f>=HYPERLINK("https://www.leilaoonline.com.br/lote/detalhe/259448", " PLANTADORA DE CANA PCP 6000; ANO 2012. - FR12003022. - LOC. SANTA ELISA")</f>
      </c>
      <c r="C24" s="4" t="inlineStr">
        <is>
          <t>Não vendido</t>
        </is>
      </c>
      <c r="D24" s="4" t="inlineStr">
        <is>
          <t>2</t>
        </is>
      </c>
      <c r="E24" s="5" t="inlineStr">
        <is>
          <t>11.000,00</t>
        </is>
      </c>
      <c r="F24" s="4" t="inlineStr">
        <is>
          <t>1000.00</t>
        </is>
      </c>
    </row>
    <row collapsed="false" customFormat="false" customHeight="false" hidden="false" ht="12.1" outlineLevel="0" r="25">
      <c r="A25" s="5" t="s">
        <f>=HYPERLINK("https://www.leilaoonline.com.br/lote/detalhe/259885", "10649")</f>
      </c>
      <c r="B25" s="4" t="s">
        <f>=HYPERLINK("https://www.leilaoonline.com.br/lote/detalhe/259885", "TRANSBORDO ANTONIOSI ATA 10500; ANO 2010. - FR102037. - LOC. BARRA ")</f>
      </c>
      <c r="C25" s="4" t="inlineStr">
        <is>
          <t>Vendido</t>
        </is>
      </c>
      <c r="D25" s="4" t="inlineStr">
        <is>
          <t>11</t>
        </is>
      </c>
      <c r="E25" s="5" t="inlineStr">
        <is>
          <t>15.000,00</t>
        </is>
      </c>
      <c r="F25" s="4" t="inlineStr">
        <is>
          <t>500.00</t>
        </is>
      </c>
    </row>
    <row collapsed="false" customFormat="false" customHeight="false" hidden="false" ht="12.1" outlineLevel="0" r="26">
      <c r="A26" s="5" t="s">
        <f>=HYPERLINK("https://www.leilaoonline.com.br/lote/detalhe/259449", "10666")</f>
      </c>
      <c r="B26" s="4" t="s">
        <f>=HYPERLINK("https://www.leilaoonline.com.br/lote/detalhe/259449", "SEMI REBOQUE RANDON SR TQ; ANO 2001/2002; BRANCA; C/TANQUE FIBRA P/TRANSP VINHAÇA. - FR11004360/S/FR. - LOC. SANTA ELISA ")</f>
      </c>
      <c r="C26" s="4" t="inlineStr">
        <is>
          <t>Vendido</t>
        </is>
      </c>
      <c r="D26" s="4" t="inlineStr">
        <is>
          <t>20</t>
        </is>
      </c>
      <c r="E26" s="5" t="inlineStr">
        <is>
          <t>21.000,00</t>
        </is>
      </c>
      <c r="F26" s="4" t="inlineStr">
        <is>
          <t>1000.00</t>
        </is>
      </c>
    </row>
    <row collapsed="false" customFormat="false" customHeight="false" hidden="false" ht="12.1" outlineLevel="0" r="27">
      <c r="A27" s="5" t="s">
        <f>=HYPERLINK("https://www.leilaoonline.com.br/lote/detalhe/259236", "10709")</f>
      </c>
      <c r="B27" s="4" t="s">
        <f>=HYPERLINK("https://www.leilaoonline.com.br/lote/detalhe/259236", " SEMI REBOQUE RANDON SR CA; ANO 1999/1999; VERDE. - FR10004052. - LOC. CONTINENTAL")</f>
      </c>
      <c r="C27" s="4" t="inlineStr">
        <is>
          <t>Não vendido</t>
        </is>
      </c>
      <c r="D27" s="4" t="inlineStr">
        <is>
          <t>1</t>
        </is>
      </c>
      <c r="E27" s="5" t="inlineStr">
        <is>
          <t>7.500,00</t>
        </is>
      </c>
      <c r="F27" s="4" t="inlineStr">
        <is>
          <t>500.00</t>
        </is>
      </c>
    </row>
    <row collapsed="false" customFormat="false" customHeight="false" hidden="false" ht="12.1" outlineLevel="0" r="28">
      <c r="A28" s="5" t="s">
        <f>=HYPERLINK("https://www.leilaoonline.com.br/lote/detalhe/259235", "10710")</f>
      </c>
      <c r="B28" s="4" t="s">
        <f>=HYPERLINK("https://www.leilaoonline.com.br/lote/detalhe/259235", " SEMI REBOQUE RANDON SR CA; ANO 1999/1999; VERDE. - FR10004055. - LOC. CONTINENTAL")</f>
      </c>
      <c r="C28" s="4" t="inlineStr">
        <is>
          <t>Não vendido</t>
        </is>
      </c>
      <c r="D28" s="4" t="inlineStr">
        <is>
          <t>1</t>
        </is>
      </c>
      <c r="E28" s="5" t="inlineStr">
        <is>
          <t>7.500,00</t>
        </is>
      </c>
      <c r="F28" s="4" t="inlineStr">
        <is>
          <t>500.00</t>
        </is>
      </c>
    </row>
    <row collapsed="false" customFormat="false" customHeight="false" hidden="false" ht="12.1" outlineLevel="0" r="29">
      <c r="A29" s="5" t="s">
        <f>=HYPERLINK("https://www.leilaoonline.com.br/lote/detalhe/259840", "10711")</f>
      </c>
      <c r="B29" s="4" t="s">
        <f>=HYPERLINK("https://www.leilaoonline.com.br/lote/detalhe/259840", " SEMI REBOQUE RANDON SR CA; ANO 2001/2001; VERDE. - FR10004175.  LOC. CONTINENTAL")</f>
      </c>
      <c r="C29" s="4" t="inlineStr">
        <is>
          <t>Vendido</t>
        </is>
      </c>
      <c r="D29" s="4" t="inlineStr">
        <is>
          <t>1</t>
        </is>
      </c>
      <c r="E29" s="5" t="inlineStr">
        <is>
          <t>10.000,00</t>
        </is>
      </c>
      <c r="F29" s="4" t="inlineStr">
        <is>
          <t>1000.00</t>
        </is>
      </c>
    </row>
    <row collapsed="false" customFormat="false" customHeight="false" hidden="false" ht="12.1" outlineLevel="0" r="30">
      <c r="A30" s="5" t="s">
        <f>=HYPERLINK("https://www.leilaoonline.com.br/lote/detalhe/259237", "10771")</f>
      </c>
      <c r="B30" s="4" t="s">
        <f>=HYPERLINK("https://www.leilaoonline.com.br/lote/detalhe/259237", " ENXADA ROTATIVA; ANO 2014. - FR81459. - LOC. BONFIM 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2.500,00</t>
        </is>
      </c>
      <c r="F30" s="4" t="inlineStr">
        <is>
          <t>500.00</t>
        </is>
      </c>
    </row>
    <row collapsed="false" customFormat="false" customHeight="false" hidden="false" ht="12.1" outlineLevel="0" r="31">
      <c r="A31" s="5" t="s">
        <f>=HYPERLINK("https://www.leilaoonline.com.br/lote/detalhe/259452", "10806")</f>
      </c>
      <c r="B31" s="4" t="s">
        <f>=HYPERLINK("https://www.leilaoonline.com.br/lote/detalhe/259452", "CAMINHÃO FORD CARGO 2622; ANO 2003/2003; BRANCA. (CARROCERIA  TANQUE) - (VENDA SEM DIREITO A DOCUMENTAÇÃO.) - FR14001038. - LOC. SANTA ELISA")</f>
      </c>
      <c r="C31" s="4" t="inlineStr">
        <is>
          <t>Não vendido</t>
        </is>
      </c>
      <c r="D31" s="4" t="inlineStr">
        <is>
          <t>51</t>
        </is>
      </c>
      <c r="E31" s="5" t="inlineStr">
        <is>
          <t>75.000,00</t>
        </is>
      </c>
      <c r="F31" s="4" t="inlineStr">
        <is>
          <t>1000.00</t>
        </is>
      </c>
    </row>
    <row collapsed="false" customFormat="false" customHeight="false" hidden="false" ht="12.1" outlineLevel="0" r="32">
      <c r="A32" s="5" t="s">
        <f>=HYPERLINK("https://www.leilaoonline.com.br/lote/detalhe/259454", "10847")</f>
      </c>
      <c r="B32" s="4" t="s">
        <f>=HYPERLINK("https://www.leilaoonline.com.br/lote/detalhe/259454", "SUCATA DE CABINE DE CAMINHÃO COM MOTOR MERCEDES BENZ - SINISTRADO - (VENDA SEM DIREITO A DOCUMENTAÇÃO/ SOMENTE PARA COMPRADORES DO ESTADO DE SÃO PAULO). - S/FR. - LOC. VALE DO ROSÁRIO")</f>
      </c>
      <c r="C32" s="4" t="inlineStr">
        <is>
          <t>Vendido</t>
        </is>
      </c>
      <c r="D32" s="4" t="inlineStr">
        <is>
          <t>46</t>
        </is>
      </c>
      <c r="E32" s="5" t="inlineStr">
        <is>
          <t>7.000,00</t>
        </is>
      </c>
      <c r="F32" s="4" t="inlineStr">
        <is>
          <t>200.00</t>
        </is>
      </c>
    </row>
    <row collapsed="false" customFormat="false" customHeight="false" hidden="false" ht="12.1" outlineLevel="0" r="33">
      <c r="A33" s="5" t="s">
        <f>=HYPERLINK("https://www.leilaoonline.com.br/lote/detalhe/259876", "10854")</f>
      </c>
      <c r="B33" s="4" t="s">
        <f>=HYPERLINK("https://www.leilaoonline.com.br/lote/detalhe/259876", " PLANTADORA CANA ATA PCP1102; ANO 2012. - FR92830. - LOC. JUNQUEIRA")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10.000,00</t>
        </is>
      </c>
      <c r="F33" s="4" t="inlineStr">
        <is>
          <t>500.00</t>
        </is>
      </c>
    </row>
    <row collapsed="false" customFormat="false" customHeight="false" hidden="false" ht="12.1" outlineLevel="0" r="34">
      <c r="A34" s="5" t="s">
        <f>=HYPERLINK("https://www.leilaoonline.com.br/lote/detalhe/259455", "10860")</f>
      </c>
      <c r="B34" s="4" t="s">
        <f>=HYPERLINK("https://www.leilaoonline.com.br/lote/detalhe/259455", "CARRETA COMBOIO; ANO 2003. - FR92508. - LOC. JUNQUEIRA")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3.000,00</t>
        </is>
      </c>
      <c r="F34" s="4" t="inlineStr">
        <is>
          <t>500.00</t>
        </is>
      </c>
    </row>
    <row collapsed="false" customFormat="false" customHeight="false" hidden="false" ht="12.1" outlineLevel="0" r="35">
      <c r="A35" s="5" t="s">
        <f>=HYPERLINK("https://www.leilaoonline.com.br/lote/detalhe/259443", "10966")</f>
      </c>
      <c r="B35" s="4" t="s">
        <f>=HYPERLINK("https://www.leilaoonline.com.br/lote/detalhe/259443", " ADUBADEIRA APLICADOR DE ADUBO. - S/FR. - LOC. PARAISO ")</f>
      </c>
      <c r="C35" s="4" t="inlineStr">
        <is>
          <t>Vendido</t>
        </is>
      </c>
      <c r="D35" s="4" t="inlineStr">
        <is>
          <t>1</t>
        </is>
      </c>
      <c r="E35" s="5" t="inlineStr">
        <is>
          <t>2.500,00</t>
        </is>
      </c>
      <c r="F35" s="4" t="inlineStr">
        <is>
          <t>500.00</t>
        </is>
      </c>
    </row>
    <row collapsed="false" customFormat="false" customHeight="false" hidden="false" ht="12.1" outlineLevel="0" r="36">
      <c r="A36" s="5" t="s">
        <f>=HYPERLINK("https://www.leilaoonline.com.br/lote/detalhe/259441", "10967")</f>
      </c>
      <c r="B36" s="4" t="s">
        <f>=HYPERLINK("https://www.leilaoonline.com.br/lote/detalhe/259441", " ADUBADEIRA APLICADOR DE ADUBO. - S/FR. - LOC. PARAISO 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2.500,00</t>
        </is>
      </c>
      <c r="F36" s="4" t="inlineStr">
        <is>
          <t>500.00</t>
        </is>
      </c>
    </row>
    <row collapsed="false" customFormat="false" customHeight="false" hidden="false" ht="12.1" outlineLevel="0" r="37">
      <c r="A37" s="5" t="s">
        <f>=HYPERLINK("https://www.leilaoonline.com.br/lote/detalhe/259425", "10968")</f>
      </c>
      <c r="B37" s="4" t="s">
        <f>=HYPERLINK("https://www.leilaoonline.com.br/lote/detalhe/259425", " ADUBADEIRA APLICADOR DE ADUBO. - S/FR. - LOC. PARAISO ")</f>
      </c>
      <c r="C37" s="4" t="inlineStr">
        <is>
          <t>Vendido</t>
        </is>
      </c>
      <c r="D37" s="4" t="inlineStr">
        <is>
          <t>1</t>
        </is>
      </c>
      <c r="E37" s="5" t="inlineStr">
        <is>
          <t>2.500,00</t>
        </is>
      </c>
      <c r="F37" s="4" t="inlineStr">
        <is>
          <t>500.00</t>
        </is>
      </c>
    </row>
    <row collapsed="false" customFormat="false" customHeight="false" hidden="false" ht="12.1" outlineLevel="0" r="38">
      <c r="A38" s="5" t="s">
        <f>=HYPERLINK("https://www.leilaoonline.com.br/lote/detalhe/259428", "10969")</f>
      </c>
      <c r="B38" s="4" t="s">
        <f>=HYPERLINK("https://www.leilaoonline.com.br/lote/detalhe/259428", " ADUBADEIRA APLICADOR DE ADUBO. - S/FR. - LOC. PARAISO ")</f>
      </c>
      <c r="C38" s="4" t="inlineStr">
        <is>
          <t>Vendido</t>
        </is>
      </c>
      <c r="D38" s="4" t="inlineStr">
        <is>
          <t>1</t>
        </is>
      </c>
      <c r="E38" s="5" t="inlineStr">
        <is>
          <t>2.500,00</t>
        </is>
      </c>
      <c r="F38" s="4" t="inlineStr">
        <is>
          <t>500.00</t>
        </is>
      </c>
    </row>
    <row collapsed="false" customFormat="false" customHeight="false" hidden="false" ht="12.1" outlineLevel="0" r="39">
      <c r="A39" s="5" t="s">
        <f>=HYPERLINK("https://www.leilaoonline.com.br/lote/detalhe/259429", "10971")</f>
      </c>
      <c r="B39" s="4" t="s">
        <f>=HYPERLINK("https://www.leilaoonline.com.br/lote/detalhe/259429", " SULCADOR CARDEROLI; ANO 2019. - FR122946. - LOC. PARAISO ")</f>
      </c>
      <c r="C39" s="4" t="inlineStr">
        <is>
          <t>Não vendido</t>
        </is>
      </c>
      <c r="D39" s="4" t="inlineStr">
        <is>
          <t>5</t>
        </is>
      </c>
      <c r="E39" s="5" t="inlineStr">
        <is>
          <t>4.000,00</t>
        </is>
      </c>
      <c r="F39" s="4" t="inlineStr">
        <is>
          <t>500.00</t>
        </is>
      </c>
    </row>
    <row collapsed="false" customFormat="false" customHeight="false" hidden="false" ht="12.1" outlineLevel="0" r="40">
      <c r="A40" s="5" t="s">
        <f>=HYPERLINK("https://www.leilaoonline.com.br/lote/detalhe/259426", "10972")</f>
      </c>
      <c r="B40" s="4" t="s">
        <f>=HYPERLINK("https://www.leilaoonline.com.br/lote/detalhe/259426", " SULCADOR CARDEROLI; ANO 2019. - FR436030. - LOC.PARAISO ")</f>
      </c>
      <c r="C40" s="4" t="inlineStr">
        <is>
          <t>Não vendido</t>
        </is>
      </c>
      <c r="D40" s="4" t="inlineStr">
        <is>
          <t>8</t>
        </is>
      </c>
      <c r="E40" s="5" t="inlineStr">
        <is>
          <t>5.500,00</t>
        </is>
      </c>
      <c r="F40" s="4" t="inlineStr">
        <is>
          <t>500.00</t>
        </is>
      </c>
    </row>
    <row collapsed="false" customFormat="false" customHeight="false" hidden="false" ht="12.1" outlineLevel="0" r="41">
      <c r="A41" s="5" t="s">
        <f>=HYPERLINK("https://www.leilaoonline.com.br/lote/detalhe/259427", "10973")</f>
      </c>
      <c r="B41" s="4" t="s">
        <f>=HYPERLINK("https://www.leilaoonline.com.br/lote/detalhe/259427", " SULCADOR; ANO 2006. - FR57248. - LOC.PARAISO ")</f>
      </c>
      <c r="C41" s="4" t="inlineStr">
        <is>
          <t>Vendido</t>
        </is>
      </c>
      <c r="D41" s="4" t="inlineStr">
        <is>
          <t>2</t>
        </is>
      </c>
      <c r="E41" s="5" t="inlineStr">
        <is>
          <t>2.500,00</t>
        </is>
      </c>
      <c r="F41" s="4" t="inlineStr">
        <is>
          <t>500.00</t>
        </is>
      </c>
    </row>
    <row collapsed="false" customFormat="false" customHeight="false" hidden="false" ht="12.1" outlineLevel="0" r="42">
      <c r="A42" s="5" t="s">
        <f>=HYPERLINK("https://www.leilaoonline.com.br/lote/detalhe/259442", "10974")</f>
      </c>
      <c r="B42" s="4" t="s">
        <f>=HYPERLINK("https://www.leilaoonline.com.br/lote/detalhe/259442", " SULCADOR; ANO 2006. - FR103379. - LOC.PARAISO ")</f>
      </c>
      <c r="C42" s="4" t="inlineStr">
        <is>
          <t>Vendido</t>
        </is>
      </c>
      <c r="D42" s="4" t="inlineStr">
        <is>
          <t>2</t>
        </is>
      </c>
      <c r="E42" s="5" t="inlineStr">
        <is>
          <t>2.500,00</t>
        </is>
      </c>
      <c r="F42" s="4" t="inlineStr">
        <is>
          <t>500.00</t>
        </is>
      </c>
    </row>
    <row collapsed="false" customFormat="false" customHeight="false" hidden="false" ht="12.1" outlineLevel="0" r="43">
      <c r="A43" s="5" t="s">
        <f>=HYPERLINK("https://www.leilaoonline.com.br/lote/detalhe/259431", "10977")</f>
      </c>
      <c r="B43" s="4" t="s">
        <f>=HYPERLINK("https://www.leilaoonline.com.br/lote/detalhe/259431", " CULTIVADOR; ANO 2013. - FR14003589. - LOC.PARAISO")</f>
      </c>
      <c r="C43" s="4" t="inlineStr">
        <is>
          <t>Vendido</t>
        </is>
      </c>
      <c r="D43" s="4" t="inlineStr">
        <is>
          <t>6</t>
        </is>
      </c>
      <c r="E43" s="5" t="inlineStr">
        <is>
          <t>4.500,00</t>
        </is>
      </c>
      <c r="F43" s="4" t="inlineStr">
        <is>
          <t>500.00</t>
        </is>
      </c>
    </row>
    <row collapsed="false" customFormat="false" customHeight="false" hidden="false" ht="12.1" outlineLevel="0" r="44">
      <c r="A44" s="5" t="s">
        <f>=HYPERLINK("https://www.leilaoonline.com.br/lote/detalhe/259433", "10978")</f>
      </c>
      <c r="B44" s="4" t="s">
        <f>=HYPERLINK("https://www.leilaoonline.com.br/lote/detalhe/259433", " CULTIVADOR; ANO 2013. - FR14003588. - LOC.PARAISO")</f>
      </c>
      <c r="C44" s="4" t="inlineStr">
        <is>
          <t>Vendido</t>
        </is>
      </c>
      <c r="D44" s="4" t="inlineStr">
        <is>
          <t>4</t>
        </is>
      </c>
      <c r="E44" s="5" t="inlineStr">
        <is>
          <t>3.500,00</t>
        </is>
      </c>
      <c r="F44" s="4" t="inlineStr">
        <is>
          <t>500.00</t>
        </is>
      </c>
    </row>
    <row collapsed="false" customFormat="false" customHeight="false" hidden="false" ht="12.1" outlineLevel="0" r="45">
      <c r="A45" s="5" t="s">
        <f>=HYPERLINK("https://www.leilaoonline.com.br/lote/detalhe/259437", "10979")</f>
      </c>
      <c r="B45" s="4" t="s">
        <f>=HYPERLINK("https://www.leilaoonline.com.br/lote/detalhe/259437", "IMPLEMENTO ADUBADEIRA  AGROMATÃO; ANO 2000. - FR136034. - LOC.PARAISO 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2.000,00</t>
        </is>
      </c>
      <c r="F45" s="4" t="inlineStr">
        <is>
          <t>250.00</t>
        </is>
      </c>
    </row>
    <row collapsed="false" customFormat="false" customHeight="false" hidden="false" ht="12.1" outlineLevel="0" r="46">
      <c r="A46" s="5" t="s">
        <f>=HYPERLINK("https://www.leilaoonline.com.br/lote/detalhe/259436", "10980")</f>
      </c>
      <c r="B46" s="4" t="s">
        <f>=HYPERLINK("https://www.leilaoonline.com.br/lote/detalhe/259436", " SUCATA GRADE E IMPLEMENTO. - S/FR. - LOC.PARAISO ")</f>
      </c>
      <c r="C46" s="4" t="inlineStr">
        <is>
          <t>Vendido</t>
        </is>
      </c>
      <c r="D46" s="4" t="inlineStr">
        <is>
          <t>1</t>
        </is>
      </c>
      <c r="E46" s="5" t="inlineStr">
        <is>
          <t>2.500,00</t>
        </is>
      </c>
      <c r="F46" s="4" t="inlineStr">
        <is>
          <t>250.00</t>
        </is>
      </c>
    </row>
    <row collapsed="false" customFormat="false" customHeight="false" hidden="false" ht="12.1" outlineLevel="0" r="47">
      <c r="A47" s="5" t="s">
        <f>=HYPERLINK("https://www.leilaoonline.com.br/lote/detalhe/259424", "10987")</f>
      </c>
      <c r="B47" s="4" t="s">
        <f>=HYPERLINK("https://www.leilaoonline.com.br/lote/detalhe/259424", " TRATOR CASE PULMA 230; ANO 2017. - FR20417. - LOC. PARAISO ")</f>
      </c>
      <c r="C47" s="4" t="inlineStr">
        <is>
          <t>Não vendido</t>
        </is>
      </c>
      <c r="D47" s="4" t="inlineStr">
        <is>
          <t>33</t>
        </is>
      </c>
      <c r="E47" s="5" t="inlineStr">
        <is>
          <t>52.000,00</t>
        </is>
      </c>
      <c r="F47" s="4" t="inlineStr">
        <is>
          <t>1000.00</t>
        </is>
      </c>
    </row>
    <row collapsed="false" customFormat="false" customHeight="false" hidden="false" ht="12.1" outlineLevel="0" r="48">
      <c r="A48" s="5" t="s">
        <f>=HYPERLINK("https://www.leilaoonline.com.br/lote/detalhe/259432", "10988")</f>
      </c>
      <c r="B48" s="4" t="s">
        <f>=HYPERLINK("https://www.leilaoonline.com.br/lote/detalhe/259432", " DOLLY; ANO 2008. - (VENDA SEM DIREITO A DOCUMENTAÇÃO). - FR91912. - LOC. BARRA ")</f>
      </c>
      <c r="C48" s="4" t="inlineStr">
        <is>
          <t>Vendido</t>
        </is>
      </c>
      <c r="D48" s="4" t="inlineStr">
        <is>
          <t>16</t>
        </is>
      </c>
      <c r="E48" s="5" t="inlineStr">
        <is>
          <t>12.500,00</t>
        </is>
      </c>
      <c r="F48" s="4" t="inlineStr">
        <is>
          <t>500.00</t>
        </is>
      </c>
    </row>
    <row collapsed="false" customFormat="false" customHeight="false" hidden="false" ht="12.1" outlineLevel="0" r="49">
      <c r="A49" s="5" t="s">
        <f>=HYPERLINK("https://www.leilaoonline.com.br/lote/detalhe/259434", "10989")</f>
      </c>
      <c r="B49" s="4" t="s">
        <f>=HYPERLINK("https://www.leilaoonline.com.br/lote/detalhe/259434", "REBOQUE CONTIN; ANO 1985/1985; AZUL. -  FR70195. - LOC. BARRA ")</f>
      </c>
      <c r="C49" s="4" t="inlineStr">
        <is>
          <t>Vendido</t>
        </is>
      </c>
      <c r="D49" s="4" t="inlineStr">
        <is>
          <t>5</t>
        </is>
      </c>
      <c r="E49" s="5" t="inlineStr">
        <is>
          <t>12.000,00</t>
        </is>
      </c>
      <c r="F49" s="4" t="inlineStr">
        <is>
          <t>500.00</t>
        </is>
      </c>
    </row>
    <row collapsed="false" customFormat="false" customHeight="false" hidden="false" ht="12.1" outlineLevel="0" r="50">
      <c r="A50" s="5" t="s">
        <f>=HYPERLINK("https://www.leilaoonline.com.br/lote/detalhe/259430", "10990")</f>
      </c>
      <c r="B50" s="4" t="s">
        <f>=HYPERLINK("https://www.leilaoonline.com.br/lote/detalhe/259430", " CARRETA SERVIÇOS DIVERSOS. - S/FR. - LOC. BARRA ")</f>
      </c>
      <c r="C50" s="4" t="inlineStr">
        <is>
          <t>Vendido</t>
        </is>
      </c>
      <c r="D50" s="4" t="inlineStr">
        <is>
          <t>1</t>
        </is>
      </c>
      <c r="E50" s="5" t="inlineStr">
        <is>
          <t>2.000,00</t>
        </is>
      </c>
      <c r="F50" s="4" t="inlineStr">
        <is>
          <t>500.00</t>
        </is>
      </c>
    </row>
    <row collapsed="false" customFormat="false" customHeight="false" hidden="false" ht="12.1" outlineLevel="0" r="51">
      <c r="A51" s="5" t="s">
        <f>=HYPERLINK("https://www.leilaoonline.com.br/lote/detalhe/259444", "10991")</f>
      </c>
      <c r="B51" s="4" t="s">
        <f>=HYPERLINK("https://www.leilaoonline.com.br/lote/detalhe/259444", " TRATOR VALTRA BH 210; ANO 2014. - FR71890. - LOC.BARRA ")</f>
      </c>
      <c r="C51" s="4" t="inlineStr">
        <is>
          <t>Vendido</t>
        </is>
      </c>
      <c r="D51" s="4" t="inlineStr">
        <is>
          <t>68</t>
        </is>
      </c>
      <c r="E51" s="5" t="inlineStr">
        <is>
          <t>94.000,00</t>
        </is>
      </c>
      <c r="F51" s="4" t="inlineStr">
        <is>
          <t>1000.00</t>
        </is>
      </c>
    </row>
    <row collapsed="false" customFormat="false" customHeight="false" hidden="false" ht="12.1" outlineLevel="0" r="52">
      <c r="A52" s="5" t="s">
        <f>=HYPERLINK("https://www.leilaoonline.com.br/lote/detalhe/259435", "10992")</f>
      </c>
      <c r="B52" s="4" t="s">
        <f>=HYPERLINK("https://www.leilaoonline.com.br/lote/detalhe/259435", " TRATOR CASE 260; ANO 2018. - FR84592. - LOC.BARRA ")</f>
      </c>
      <c r="C52" s="4" t="inlineStr">
        <is>
          <t>Não vendido</t>
        </is>
      </c>
      <c r="D52" s="4" t="inlineStr">
        <is>
          <t>37</t>
        </is>
      </c>
      <c r="E52" s="5" t="inlineStr">
        <is>
          <t>140.000,00</t>
        </is>
      </c>
      <c r="F52" s="4" t="inlineStr">
        <is>
          <t>2500.00</t>
        </is>
      </c>
    </row>
    <row collapsed="false" customFormat="false" customHeight="false" hidden="false" ht="12.1" outlineLevel="0" r="53">
      <c r="A53" s="5" t="s">
        <f>=HYPERLINK("https://www.leilaoonline.com.br/lote/detalhe/259439", "10993")</f>
      </c>
      <c r="B53" s="4" t="s">
        <f>=HYPERLINK("https://www.leilaoonline.com.br/lote/detalhe/259439", " TRATOR CASE 260; ANO 2017. - FR112219. - LOC.BARRA ")</f>
      </c>
      <c r="C53" s="4" t="inlineStr">
        <is>
          <t>Não vendido</t>
        </is>
      </c>
      <c r="D53" s="4" t="inlineStr">
        <is>
          <t>16</t>
        </is>
      </c>
      <c r="E53" s="5" t="inlineStr">
        <is>
          <t>87.500,00</t>
        </is>
      </c>
      <c r="F53" s="4" t="inlineStr">
        <is>
          <t>2500.00</t>
        </is>
      </c>
    </row>
    <row collapsed="false" customFormat="false" customHeight="false" hidden="false" ht="12.1" outlineLevel="0" r="54">
      <c r="A54" s="5" t="s">
        <f>=HYPERLINK("https://www.leilaoonline.com.br/lote/detalhe/259440", "10994")</f>
      </c>
      <c r="B54" s="4" t="s">
        <f>=HYPERLINK("https://www.leilaoonline.com.br/lote/detalhe/259440", " TRANSBORDO ATA; ANO 2012. - FR70630. - LOC.BARRA ")</f>
      </c>
      <c r="C54" s="4" t="inlineStr">
        <is>
          <t>Não vendido</t>
        </is>
      </c>
      <c r="D54" s="4" t="inlineStr">
        <is>
          <t>10</t>
        </is>
      </c>
      <c r="E54" s="5" t="inlineStr">
        <is>
          <t>17.000,00</t>
        </is>
      </c>
      <c r="F54" s="4" t="inlineStr">
        <is>
          <t>1000.00</t>
        </is>
      </c>
    </row>
    <row collapsed="false" customFormat="false" customHeight="false" hidden="false" ht="12.1" outlineLevel="0" r="55">
      <c r="A55" s="5" t="s">
        <f>=HYPERLINK("https://www.leilaoonline.com.br/lote/detalhe/259438", "10995")</f>
      </c>
      <c r="B55" s="4" t="s">
        <f>=HYPERLINK("https://www.leilaoonline.com.br/lote/detalhe/259438", " TRANSBORDO ATA; ANO 2012. - FR102063. - LOC.BARRA ")</f>
      </c>
      <c r="C55" s="4" t="inlineStr">
        <is>
          <t>Não vendido</t>
        </is>
      </c>
      <c r="D55" s="4" t="inlineStr">
        <is>
          <t>19</t>
        </is>
      </c>
      <c r="E55" s="5" t="inlineStr">
        <is>
          <t>27.500,00</t>
        </is>
      </c>
      <c r="F55" s="4" t="inlineStr">
        <is>
          <t>1000.00</t>
        </is>
      </c>
    </row>
    <row collapsed="false" customFormat="false" customHeight="false" hidden="false" ht="12.1" outlineLevel="0" r="56">
      <c r="A56" s="5" t="s">
        <f>=HYPERLINK("https://www.leilaoonline.com.br/lote/detalhe/259763", "10996")</f>
      </c>
      <c r="B56" s="4" t="s">
        <f>=HYPERLINK("https://www.leilaoonline.com.br/lote/detalhe/259763", " MOEDOR E CAIXA DE GRÃO PARA CAFÉ. - S/FR. - LOC. BONFIM ")</f>
      </c>
      <c r="C56" s="4" t="inlineStr">
        <is>
          <t>Vendido</t>
        </is>
      </c>
      <c r="D56" s="4" t="inlineStr">
        <is>
          <t>3</t>
        </is>
      </c>
      <c r="E56" s="5" t="inlineStr">
        <is>
          <t>700,00</t>
        </is>
      </c>
      <c r="F56" s="4" t="inlineStr">
        <is>
          <t>100.00</t>
        </is>
      </c>
    </row>
    <row collapsed="false" customFormat="false" customHeight="false" hidden="false" ht="12.1" outlineLevel="0" r="57">
      <c r="A57" s="5" t="s">
        <f>=HYPERLINK("https://www.leilaoonline.com.br/lote/detalhe/259758", "10997")</f>
      </c>
      <c r="B57" s="4" t="s">
        <f>=HYPERLINK("https://www.leilaoonline.com.br/lote/detalhe/259758", " CAMINHÃO VOLKSWAGEN 31.330 CRC 6X4; ANO 2014/2015; BRANCA; (CARROCERIA TRANSBORDO). - FR120029/123875. - LOC.BONFIM")</f>
      </c>
      <c r="C57" s="4" t="inlineStr">
        <is>
          <t>Vendido</t>
        </is>
      </c>
      <c r="D57" s="4" t="inlineStr">
        <is>
          <t>141</t>
        </is>
      </c>
      <c r="E57" s="5" t="inlineStr">
        <is>
          <t>181.000,00</t>
        </is>
      </c>
      <c r="F57" s="4" t="inlineStr">
        <is>
          <t>1000.00</t>
        </is>
      </c>
    </row>
    <row collapsed="false" customFormat="false" customHeight="false" hidden="false" ht="12.1" outlineLevel="0" r="58">
      <c r="A58" s="5" t="s">
        <f>=HYPERLINK("https://www.leilaoonline.com.br/lote/detalhe/259759", "10998")</f>
      </c>
      <c r="B58" s="4" t="s">
        <f>=HYPERLINK("https://www.leilaoonline.com.br/lote/detalhe/259759", " CAMINHÃO VOLKSWAGEN 31.330 CRC 6X4; ANO 2014/2014; BRANCA; (CARROCERIA TRANSBORDO). -FR119931/123751. - LOC. BONFIM ")</f>
      </c>
      <c r="C58" s="4" t="inlineStr">
        <is>
          <t>Vendido</t>
        </is>
      </c>
      <c r="D58" s="4" t="inlineStr">
        <is>
          <t>147</t>
        </is>
      </c>
      <c r="E58" s="5" t="inlineStr">
        <is>
          <t>181.000,00</t>
        </is>
      </c>
      <c r="F58" s="4" t="inlineStr">
        <is>
          <t>1000.00</t>
        </is>
      </c>
    </row>
    <row collapsed="false" customFormat="false" customHeight="false" hidden="false" ht="12.1" outlineLevel="0" r="59">
      <c r="A59" s="5" t="s">
        <f>=HYPERLINK("https://www.leilaoonline.com.br/lote/detalhe/259910", "11005")</f>
      </c>
      <c r="B59" s="4" t="s">
        <f>=HYPERLINK("https://www.leilaoonline.com.br/lote/detalhe/259910", "GERADOR DE ENERGIA MOD. WEG GTA; ANO 2009 - PT237783 - LOC.: CAARAPÓ")</f>
      </c>
      <c r="C59" s="4" t="inlineStr">
        <is>
          <t>Vendido</t>
        </is>
      </c>
      <c r="D59" s="4" t="inlineStr">
        <is>
          <t>49</t>
        </is>
      </c>
      <c r="E59" s="5" t="inlineStr">
        <is>
          <t>60.000,00</t>
        </is>
      </c>
      <c r="F59" s="4" t="inlineStr">
        <is>
          <t>1000.00</t>
        </is>
      </c>
    </row>
    <row collapsed="false" customFormat="false" customHeight="false" hidden="false" ht="12.1" outlineLevel="0" r="60">
      <c r="A60" s="5" t="s">
        <f>=HYPERLINK("https://www.leilaoonline.com.br/lote/detalhe/259799", "11010")</f>
      </c>
      <c r="B60" s="4" t="s">
        <f>=HYPERLINK("https://www.leilaoonline.com.br/lote/detalhe/259799", "GERADOR DE 500 KVA. - PATR.009054. -  LOC. UNIVALEM  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120.000,00</t>
        </is>
      </c>
      <c r="F60" s="4" t="inlineStr">
        <is>
          <t>2500.00</t>
        </is>
      </c>
    </row>
    <row collapsed="false" customFormat="false" customHeight="false" hidden="false" ht="12.1" outlineLevel="0" r="61">
      <c r="A61" s="5" t="s">
        <f>=HYPERLINK("https://www.leilaoonline.com.br/lote/detalhe/259535", "11015")</f>
      </c>
      <c r="B61" s="4" t="s">
        <f>=HYPERLINK("https://www.leilaoonline.com.br/lote/detalhe/259535", "LOTE DE CONJUNTOS MOTO-BOMBA MARCA WEG (7 CONJUNTOS SENDO 1 COM MOTOR TRAVADO) VEJA DESCRITIVO. - S/FR. - LOC.  BASE ARAÇATUBA")</f>
      </c>
      <c r="C61" s="4" t="inlineStr">
        <is>
          <t>Não vendido</t>
        </is>
      </c>
      <c r="D61" s="4" t="inlineStr">
        <is>
          <t>31</t>
        </is>
      </c>
      <c r="E61" s="5" t="inlineStr">
        <is>
          <t>25.000,00</t>
        </is>
      </c>
      <c r="F61" s="4" t="inlineStr">
        <is>
          <t>1000.00</t>
        </is>
      </c>
    </row>
    <row collapsed="false" customFormat="false" customHeight="false" hidden="false" ht="12.1" outlineLevel="0" r="62">
      <c r="A62" s="5" t="s">
        <f>=HYPERLINK("https://www.leilaoonline.com.br/lote/detalhe/259536", "11016")</f>
      </c>
      <c r="B62" s="4" t="s">
        <f>=HYPERLINK("https://www.leilaoonline.com.br/lote/detalhe/259536", "3 MOTORES WEG 10 CV 1740 RPM. - S/FR. - LOC. BASE DE ARAÇATUBA")</f>
      </c>
      <c r="C62" s="4" t="inlineStr">
        <is>
          <t>Não vendido</t>
        </is>
      </c>
      <c r="D62" s="4" t="inlineStr">
        <is>
          <t>2</t>
        </is>
      </c>
      <c r="E62" s="5" t="inlineStr">
        <is>
          <t>1.750,00</t>
        </is>
      </c>
      <c r="F62" s="4" t="inlineStr">
        <is>
          <t>250.00</t>
        </is>
      </c>
    </row>
    <row collapsed="false" customFormat="false" customHeight="false" hidden="false" ht="12.1" outlineLevel="0" r="63">
      <c r="A63" s="5" t="s">
        <f>=HYPERLINK("https://www.leilaoonline.com.br/lote/detalhe/259538", "11017")</f>
      </c>
      <c r="B63" s="4" t="s">
        <f>=HYPERLINK("https://www.leilaoonline.com.br/lote/detalhe/259538", "LOTE DE VALVULAS GAVETA (1 DE 8"; 2 DE 6" SENDO 1 SEM VOLANTE; 3 DE 4" SENDO 1 COM CORPO TRINCADO; 1 DE 3"). - S/FR. - VEJA DESCRITIVO. - LOC. BASE DE ARAÇATUBA")</f>
      </c>
      <c r="C63" s="4" t="inlineStr">
        <is>
          <t>Vendido</t>
        </is>
      </c>
      <c r="D63" s="4" t="inlineStr">
        <is>
          <t>5</t>
        </is>
      </c>
      <c r="E63" s="5" t="inlineStr">
        <is>
          <t>2.500,00</t>
        </is>
      </c>
      <c r="F63" s="4" t="inlineStr">
        <is>
          <t>250.00</t>
        </is>
      </c>
    </row>
    <row collapsed="false" customFormat="false" customHeight="false" hidden="false" ht="12.1" outlineLevel="0" r="64">
      <c r="A64" s="5" t="s">
        <f>=HYPERLINK("https://www.leilaoonline.com.br/lote/detalhe/259540", "11018")</f>
      </c>
      <c r="B64" s="4" t="s">
        <f>=HYPERLINK("https://www.leilaoonline.com.br/lote/detalhe/259540", "EQUIPAMENTO DE AVIAÇÃO (1 VASO FILTRANTE VFA 1F29 E 1 EQUIPTO SEM ESPECIFICAÇÃO). - S/FR. - LOC. BASE ARAÇATUBA")</f>
      </c>
      <c r="C64" s="4" t="inlineStr">
        <is>
          <t>Não vendido</t>
        </is>
      </c>
      <c r="D64" s="4" t="inlineStr">
        <is>
          <t>0</t>
        </is>
      </c>
      <c r="E64" s="5" t="inlineStr">
        <is>
          <t>1.500,00</t>
        </is>
      </c>
      <c r="F64" s="4" t="inlineStr">
        <is>
          <t>250.00</t>
        </is>
      </c>
    </row>
    <row collapsed="false" customFormat="false" customHeight="false" hidden="false" ht="12.1" outlineLevel="0" r="65">
      <c r="A65" s="5" t="s">
        <f>=HYPERLINK("https://www.leilaoonline.com.br/lote/detalhe/259541", "11019")</f>
      </c>
      <c r="B65" s="4" t="s">
        <f>=HYPERLINK("https://www.leilaoonline.com.br/lote/detalhe/259541", "4 FILTROS EM Y (SENDO 1 FILTRO DE 2";  E 3 FILTROS DE 3"). - S/FR. - LOC. BASE ARAÇATUBA")</f>
      </c>
      <c r="C65" s="4" t="inlineStr">
        <is>
          <t>Não vendido</t>
        </is>
      </c>
      <c r="D65" s="4" t="inlineStr">
        <is>
          <t>0</t>
        </is>
      </c>
      <c r="E65" s="5" t="inlineStr">
        <is>
          <t>2.500,00</t>
        </is>
      </c>
      <c r="F65" s="4" t="inlineStr">
        <is>
          <t>500.00</t>
        </is>
      </c>
    </row>
    <row collapsed="false" customFormat="false" customHeight="false" hidden="false" ht="12.1" outlineLevel="0" r="66">
      <c r="A66" s="5" t="s">
        <f>=HYPERLINK("https://www.leilaoonline.com.br/lote/detalhe/259543", "11020")</f>
      </c>
      <c r="B66" s="4" t="s">
        <f>=HYPERLINK("https://www.leilaoonline.com.br/lote/detalhe/259543", "1 TANQUE DE DPD (1100 LITROS) . - S/FR. - LOC. BASE ARAÇATUBA")</f>
      </c>
      <c r="C66" s="4" t="inlineStr">
        <is>
          <t>Não vendido</t>
        </is>
      </c>
      <c r="D66" s="4" t="inlineStr">
        <is>
          <t>0</t>
        </is>
      </c>
      <c r="E66" s="5" t="inlineStr">
        <is>
          <t>2.000,00</t>
        </is>
      </c>
      <c r="F66" s="4" t="inlineStr">
        <is>
          <t>250.00</t>
        </is>
      </c>
    </row>
    <row collapsed="false" customFormat="false" customHeight="false" hidden="false" ht="12.1" outlineLevel="0" r="67">
      <c r="A67" s="5" t="s">
        <f>=HYPERLINK("https://www.leilaoonline.com.br/lote/detalhe/259544", "11021")</f>
      </c>
      <c r="B67" s="4" t="s">
        <f>=HYPERLINK("https://www.leilaoonline.com.br/lote/detalhe/259544", "6 EQUIPAMENTOS DE AUTOMAÇÃO (5 MODELO SSW 04 WEG FULL DIGITAL; 1 MODELO SSW 07). - S/FR. - LOC. BASE ARAÇATUBA")</f>
      </c>
      <c r="C67" s="4" t="inlineStr">
        <is>
          <t>Vendido</t>
        </is>
      </c>
      <c r="D67" s="4" t="inlineStr">
        <is>
          <t>1</t>
        </is>
      </c>
      <c r="E67" s="5" t="inlineStr">
        <is>
          <t>2.500,00</t>
        </is>
      </c>
      <c r="F67" s="4" t="inlineStr">
        <is>
          <t>500.00</t>
        </is>
      </c>
    </row>
    <row collapsed="false" customFormat="false" customHeight="false" hidden="false" ht="12.1" outlineLevel="0" r="68">
      <c r="A68" s="5" t="s">
        <f>=HYPERLINK("https://www.leilaoonline.com.br/lote/detalhe/259911", "11022")</f>
      </c>
      <c r="B68" s="4" t="s">
        <f>=HYPERLINK("https://www.leilaoonline.com.br/lote/detalhe/259911", "SUCATA DE TRATOR JOHN DEERE 6145J 4X4; ANO 2016. - FR8802149. - LOC. LAGOA DA PRATA ")</f>
      </c>
      <c r="C68" s="4" t="inlineStr">
        <is>
          <t>Vendido</t>
        </is>
      </c>
      <c r="D68" s="4" t="inlineStr">
        <is>
          <t>24</t>
        </is>
      </c>
      <c r="E68" s="5" t="inlineStr">
        <is>
          <t>16.500,00</t>
        </is>
      </c>
      <c r="F68" s="4" t="inlineStr">
        <is>
          <t>500.00</t>
        </is>
      </c>
    </row>
    <row collapsed="false" customFormat="false" customHeight="false" hidden="false" ht="12.1" outlineLevel="0" r="69">
      <c r="A69" s="5" t="s">
        <f>=HYPERLINK("https://www.leilaoonline.com.br/lote/detalhe/259929", "11023")</f>
      </c>
      <c r="B69" s="4" t="s">
        <f>=HYPERLINK("https://www.leilaoonline.com.br/lote/detalhe/259929", "8 PNEUS SUCATEADOS DE DIVERSAS MEDIDAS(SENDO 2 DE Nº14.9-2, 3 DE Nº 18.4-34 E 3 DE Nº 30.5L-32). - S/FR. - LOC. MUNDIAL ")</f>
      </c>
      <c r="C69" s="4" t="inlineStr">
        <is>
          <t>Vendido</t>
        </is>
      </c>
      <c r="D69" s="4" t="inlineStr">
        <is>
          <t>19</t>
        </is>
      </c>
      <c r="E69" s="5" t="inlineStr">
        <is>
          <t>7.000,00</t>
        </is>
      </c>
      <c r="F69" s="4" t="inlineStr">
        <is>
          <t>500.00</t>
        </is>
      </c>
    </row>
    <row collapsed="false" customFormat="false" customHeight="false" hidden="false" ht="12.1" outlineLevel="0" r="70">
      <c r="A70" s="5" t="s">
        <f>=HYPERLINK("https://www.leilaoonline.com.br/lote/detalhe/259930", "11024")</f>
      </c>
      <c r="B70" s="4" t="s">
        <f>=HYPERLINK("https://www.leilaoonline.com.br/lote/detalhe/259930", "PENEIRA ROTATIVA- INOX SUCATEADA. - S/FR. - LOC. BENALCOOL")</f>
      </c>
      <c r="C70" s="4" t="inlineStr">
        <is>
          <t>Não vendido</t>
        </is>
      </c>
      <c r="D70" s="4" t="inlineStr">
        <is>
          <t>5</t>
        </is>
      </c>
      <c r="E70" s="5" t="inlineStr">
        <is>
          <t>3.000,00</t>
        </is>
      </c>
      <c r="F70" s="4" t="inlineStr">
        <is>
          <t>250.00</t>
        </is>
      </c>
    </row>
    <row collapsed="false" customFormat="false" customHeight="false" hidden="false" ht="12.1" outlineLevel="0" r="71">
      <c r="A71" s="5" t="s">
        <f>=HYPERLINK("https://www.leilaoonline.com.br/lote/detalhe/259931", "11025")</f>
      </c>
      <c r="B71" s="4" t="s">
        <f>=HYPERLINK("https://www.leilaoonline.com.br/lote/detalhe/259931", "TROCADOR DE CALOR ALFA LAVAL - SUCATEADO. - S/FR. - LOC. BENALCOOL")</f>
      </c>
      <c r="C71" s="4" t="inlineStr">
        <is>
          <t>Vendido</t>
        </is>
      </c>
      <c r="D71" s="4" t="inlineStr">
        <is>
          <t>45</t>
        </is>
      </c>
      <c r="E71" s="5" t="inlineStr">
        <is>
          <t>32.000,00</t>
        </is>
      </c>
      <c r="F71" s="4" t="inlineStr">
        <is>
          <t>1000.00</t>
        </is>
      </c>
    </row>
    <row collapsed="false" customFormat="false" customHeight="false" hidden="false" ht="12.1" outlineLevel="0" r="72">
      <c r="A72" s="5" t="s">
        <f>=HYPERLINK("https://www.leilaoonline.com.br/lote/detalhe/259932", "11026")</f>
      </c>
      <c r="B72" s="4" t="s">
        <f>=HYPERLINK("https://www.leilaoonline.com.br/lote/detalhe/259932", "TURBINA VAPOR TXZ 5000 RPM.- S/FR. - LOC. BENALCOOL")</f>
      </c>
      <c r="C72" s="4" t="inlineStr">
        <is>
          <t>Vendido</t>
        </is>
      </c>
      <c r="D72" s="4" t="inlineStr">
        <is>
          <t>3</t>
        </is>
      </c>
      <c r="E72" s="5" t="inlineStr">
        <is>
          <t>4.750,00</t>
        </is>
      </c>
      <c r="F72" s="4" t="inlineStr">
        <is>
          <t>250.00</t>
        </is>
      </c>
    </row>
    <row collapsed="false" customFormat="false" customHeight="false" hidden="false" ht="12.1" outlineLevel="0" r="73">
      <c r="A73" s="5" t="s">
        <f>=HYPERLINK("https://www.leilaoonline.com.br/lote/detalhe/260147", "11027")</f>
      </c>
      <c r="B73" s="4" t="s">
        <f>=HYPERLINK("https://www.leilaoonline.com.br/lote/detalhe/260147", "TOYOTA/ COROLLA XEI 20 FLEX; ANO 2016/2017. PRATA - BLINDADO - FR59635 ")</f>
      </c>
      <c r="C73" s="4" t="inlineStr">
        <is>
          <t>Não vendido</t>
        </is>
      </c>
      <c r="D73" s="4" t="inlineStr">
        <is>
          <t>30</t>
        </is>
      </c>
      <c r="E73" s="5" t="inlineStr">
        <is>
          <t>54.000,00</t>
        </is>
      </c>
      <c r="F73" s="4" t="inlineStr">
        <is>
          <t>1000.00</t>
        </is>
      </c>
    </row>
    <row collapsed="false" customFormat="false" customHeight="false" hidden="false" ht="12.1" outlineLevel="0" r="74">
      <c r="A74" s="5" t="s">
        <f>=HYPERLINK("https://www.leilaoonline.com.br/lote/detalhe/259841", "11506")</f>
      </c>
      <c r="B74" s="4" t="s">
        <f>=HYPERLINK("https://www.leilaoonline.com.br/lote/detalhe/259841", " PARTE DE ESTRUTURAS METÁLICAS. - S/FR. - LOC. COSTA PINTO")</f>
      </c>
      <c r="C74" s="4" t="inlineStr">
        <is>
          <t>Não vendido</t>
        </is>
      </c>
      <c r="D74" s="4" t="inlineStr">
        <is>
          <t>11</t>
        </is>
      </c>
      <c r="E74" s="5" t="inlineStr">
        <is>
          <t>3.000,00</t>
        </is>
      </c>
      <c r="F74" s="4" t="inlineStr">
        <is>
          <t>200.00</t>
        </is>
      </c>
    </row>
    <row collapsed="false" customFormat="false" customHeight="false" hidden="false" ht="12.1" outlineLevel="0" r="75">
      <c r="A75" s="5" t="s">
        <f>=HYPERLINK("https://www.leilaoonline.com.br/lote/detalhe/259842", "11511")</f>
      </c>
      <c r="B75" s="4" t="s">
        <f>=HYPERLINK("https://www.leilaoonline.com.br/lote/detalhe/259842", " CARROCERIA BAÚ; ANO 2012. - FR483590. - LOC. LEME ")</f>
      </c>
      <c r="C75" s="4" t="inlineStr">
        <is>
          <t>Vendido</t>
        </is>
      </c>
      <c r="D75" s="4" t="inlineStr">
        <is>
          <t>2</t>
        </is>
      </c>
      <c r="E75" s="5" t="inlineStr">
        <is>
          <t>3.500,00</t>
        </is>
      </c>
      <c r="F75" s="4" t="inlineStr">
        <is>
          <t>500.00</t>
        </is>
      </c>
    </row>
    <row collapsed="false" customFormat="false" customHeight="false" hidden="false" ht="12.1" outlineLevel="0" r="76">
      <c r="A76" s="5" t="s">
        <f>=HYPERLINK("https://www.leilaoonline.com.br/lote/detalhe/259239", "11516")</f>
      </c>
      <c r="B76" s="4" t="s">
        <f>=HYPERLINK("https://www.leilaoonline.com.br/lote/detalhe/259239", "TRANSBORDO CIVEMASA 10 T; ANO 2008. - FR7003012. - LOC. LEME ")</f>
      </c>
      <c r="C76" s="4" t="inlineStr">
        <is>
          <t>Vendido</t>
        </is>
      </c>
      <c r="D76" s="4" t="inlineStr">
        <is>
          <t>2</t>
        </is>
      </c>
      <c r="E76" s="5" t="inlineStr">
        <is>
          <t>13.000,00</t>
        </is>
      </c>
      <c r="F76" s="4" t="inlineStr">
        <is>
          <t>1000.00</t>
        </is>
      </c>
    </row>
    <row collapsed="false" customFormat="false" customHeight="false" hidden="false" ht="12.1" outlineLevel="0" r="77">
      <c r="A77" s="5" t="s">
        <f>=HYPERLINK("https://www.leilaoonline.com.br/lote/detalhe/259681", "11521")</f>
      </c>
      <c r="B77" s="4" t="s">
        <f>=HYPERLINK("https://www.leilaoonline.com.br/lote/detalhe/259681", " COLHEDORA CASE 8800; ANO 2024. - FR500507. - LOC. SANTA ELISA ")</f>
      </c>
      <c r="C77" s="4" t="inlineStr">
        <is>
          <t>Não vendido</t>
        </is>
      </c>
      <c r="D77" s="4" t="inlineStr">
        <is>
          <t>2</t>
        </is>
      </c>
      <c r="E77" s="5" t="inlineStr">
        <is>
          <t>11.000,00</t>
        </is>
      </c>
      <c r="F77" s="4" t="inlineStr">
        <is>
          <t>1000.00</t>
        </is>
      </c>
    </row>
    <row collapsed="false" customFormat="false" customHeight="false" hidden="false" ht="12.1" outlineLevel="0" r="78">
      <c r="A78" s="5" t="s">
        <f>=HYPERLINK("https://www.leilaoonline.com.br/lote/detalhe/259680", "11522")</f>
      </c>
      <c r="B78" s="4" t="s">
        <f>=HYPERLINK("https://www.leilaoonline.com.br/lote/detalhe/259680", " COLHEDORA CASE 8800; ANO 2017. - FR14002149. - LOC. SANTA ELISA")</f>
      </c>
      <c r="C78" s="4" t="inlineStr">
        <is>
          <t>Não vendido</t>
        </is>
      </c>
      <c r="D78" s="4" t="inlineStr">
        <is>
          <t>2</t>
        </is>
      </c>
      <c r="E78" s="5" t="inlineStr">
        <is>
          <t>11.000,00</t>
        </is>
      </c>
      <c r="F78" s="4" t="inlineStr">
        <is>
          <t>1000.00</t>
        </is>
      </c>
    </row>
    <row collapsed="false" customFormat="false" customHeight="false" hidden="false" ht="12.1" outlineLevel="0" r="79">
      <c r="A79" s="5" t="s">
        <f>=HYPERLINK("https://www.leilaoonline.com.br/lote/detalhe/259843", "11525")</f>
      </c>
      <c r="B79" s="4" t="s">
        <f>=HYPERLINK("https://www.leilaoonline.com.br/lote/detalhe/259843", " DISTRIBUIDOR DE ADUBO; ANO 2016. - FR11803017. - LOC. VALE DO ROSÁRIO ")</f>
      </c>
      <c r="C79" s="4" t="inlineStr">
        <is>
          <t>Não vendido</t>
        </is>
      </c>
      <c r="D79" s="4" t="inlineStr">
        <is>
          <t>0</t>
        </is>
      </c>
      <c r="E79" s="5" t="inlineStr">
        <is>
          <t>5.000,00</t>
        </is>
      </c>
      <c r="F79" s="4" t="inlineStr">
        <is>
          <t>500.00</t>
        </is>
      </c>
    </row>
    <row collapsed="false" customFormat="false" customHeight="false" hidden="false" ht="12.1" outlineLevel="0" r="80">
      <c r="A80" s="5" t="s">
        <f>=HYPERLINK("https://www.leilaoonline.com.br/lote/detalhe/259456", "11526")</f>
      </c>
      <c r="B80" s="4" t="s">
        <f>=HYPERLINK("https://www.leilaoonline.com.br/lote/detalhe/259456", " TRANSBORDO STA ISABEL;  ANO 2013. - FR11003693. - LOC. VALE DO ROSÁRIO ")</f>
      </c>
      <c r="C80" s="4" t="inlineStr">
        <is>
          <t>Não vendido</t>
        </is>
      </c>
      <c r="D80" s="4" t="inlineStr">
        <is>
          <t>0</t>
        </is>
      </c>
      <c r="E80" s="5" t="inlineStr">
        <is>
          <t>10.000,00</t>
        </is>
      </c>
      <c r="F80" s="4" t="inlineStr">
        <is>
          <t>1000.00</t>
        </is>
      </c>
    </row>
    <row collapsed="false" customFormat="false" customHeight="false" hidden="false" ht="12.1" outlineLevel="0" r="81">
      <c r="A81" s="5" t="s">
        <f>=HYPERLINK("https://www.leilaoonline.com.br/lote/detalhe/259243", "11529")</f>
      </c>
      <c r="B81" s="4" t="s">
        <f>=HYPERLINK("https://www.leilaoonline.com.br/lote/detalhe/259243", " TANQUE DE FERRO. - S/FR. - LOC. VALE DO ROSÁRIO ")</f>
      </c>
      <c r="C81" s="4" t="inlineStr">
        <is>
          <t>Não vendido</t>
        </is>
      </c>
      <c r="D81" s="4" t="inlineStr">
        <is>
          <t>0</t>
        </is>
      </c>
      <c r="E81" s="5" t="inlineStr">
        <is>
          <t>3.000,00</t>
        </is>
      </c>
      <c r="F81" s="4" t="inlineStr">
        <is>
          <t>250.00</t>
        </is>
      </c>
    </row>
    <row collapsed="false" customFormat="false" customHeight="false" hidden="false" ht="12.1" outlineLevel="0" r="82">
      <c r="A82" s="5" t="s">
        <f>=HYPERLINK("https://www.leilaoonline.com.br/lote/detalhe/259242", "11531")</f>
      </c>
      <c r="B82" s="4" t="s">
        <f>=HYPERLINK("https://www.leilaoonline.com.br/lote/detalhe/259242", " REBOQUE RODOVIÁRIA RQ CI PR; ANO 1994/1994; VERDE; C/ BAÚ. - (VENDA SOMENTE PARA COMPRADORES DO ESTADO DE SÃO PAULO). - FR11004037. - LOC. VALE DO ROSÁRIO ")</f>
      </c>
      <c r="C82" s="4" t="inlineStr">
        <is>
          <t>Vendido</t>
        </is>
      </c>
      <c r="D82" s="4" t="inlineStr">
        <is>
          <t>2</t>
        </is>
      </c>
      <c r="E82" s="5" t="inlineStr">
        <is>
          <t>11.000,00</t>
        </is>
      </c>
      <c r="F82" s="4" t="inlineStr">
        <is>
          <t>1000.00</t>
        </is>
      </c>
    </row>
    <row collapsed="false" customFormat="false" customHeight="false" hidden="false" ht="12.1" outlineLevel="0" r="83">
      <c r="A83" s="5" t="s">
        <f>=HYPERLINK("https://www.leilaoonline.com.br/lote/detalhe/259685", "11580")</f>
      </c>
      <c r="B83" s="4" t="s">
        <f>=HYPERLINK("https://www.leilaoonline.com.br/lote/detalhe/259685", "REBOQUE FNV FREHAUF RCR; ANO 1990/1990; AZUL; (C/ CARROCERIA TRANSBORDO ATA ANTONIOSI 12000). - FR139610. - LOC. COSTA PINTO ")</f>
      </c>
      <c r="C83" s="4" t="inlineStr">
        <is>
          <t>Vendido</t>
        </is>
      </c>
      <c r="D83" s="4" t="inlineStr">
        <is>
          <t>26</t>
        </is>
      </c>
      <c r="E83" s="5" t="inlineStr">
        <is>
          <t>27.000,00</t>
        </is>
      </c>
      <c r="F83" s="4" t="inlineStr">
        <is>
          <t>1000.00</t>
        </is>
      </c>
    </row>
    <row collapsed="false" customFormat="false" customHeight="false" hidden="false" ht="12.1" outlineLevel="0" r="84">
      <c r="A84" s="5" t="s">
        <f>=HYPERLINK("https://www.leilaoonline.com.br/lote/detalhe/259686", "11581")</f>
      </c>
      <c r="B84" s="4" t="s">
        <f>=HYPERLINK("https://www.leilaoonline.com.br/lote/detalhe/259686", "REBOQUE FNV FRUEHAUF; ANO 1981/1981; AZUL. -(C/ CARROCERIA TRANSBORDO ATA ANTONIOSI 12000). - FR46729. - LOC. COSTA PINTO ")</f>
      </c>
      <c r="C84" s="4" t="inlineStr">
        <is>
          <t>Vendido</t>
        </is>
      </c>
      <c r="D84" s="4" t="inlineStr">
        <is>
          <t>24</t>
        </is>
      </c>
      <c r="E84" s="5" t="inlineStr">
        <is>
          <t>27.000,00</t>
        </is>
      </c>
      <c r="F84" s="4" t="inlineStr">
        <is>
          <t>1000.00</t>
        </is>
      </c>
    </row>
    <row collapsed="false" customFormat="false" customHeight="false" hidden="false" ht="12.1" outlineLevel="0" r="85">
      <c r="A85" s="5" t="s">
        <f>=HYPERLINK("https://www.leilaoonline.com.br/lote/detalhe/259913", "11583")</f>
      </c>
      <c r="B85" s="4" t="s">
        <f>=HYPERLINK("https://www.leilaoonline.com.br/lote/detalhe/259913", "BOMBA IMBIL. - PAT260021. - LOC. COSTA PINTO")</f>
      </c>
      <c r="C85" s="4" t="inlineStr">
        <is>
          <t>Vendido</t>
        </is>
      </c>
      <c r="D85" s="4" t="inlineStr">
        <is>
          <t>3</t>
        </is>
      </c>
      <c r="E85" s="5" t="inlineStr">
        <is>
          <t>2.500,00</t>
        </is>
      </c>
      <c r="F85" s="4" t="inlineStr">
        <is>
          <t>250.00</t>
        </is>
      </c>
    </row>
    <row collapsed="false" customFormat="false" customHeight="false" hidden="false" ht="12.1" outlineLevel="0" r="86">
      <c r="A86" s="5" t="s">
        <f>=HYPERLINK("https://www.leilaoonline.com.br/lote/detalhe/259915", "11584")</f>
      </c>
      <c r="B86" s="4" t="s">
        <f>=HYPERLINK("https://www.leilaoonline.com.br/lote/detalhe/259915", "REDUTOR. - PAT.327976/050488 . - LOC. COSTA PINTO")</f>
      </c>
      <c r="C86" s="4" t="inlineStr">
        <is>
          <t>Vendido</t>
        </is>
      </c>
      <c r="D86" s="4" t="inlineStr">
        <is>
          <t>9</t>
        </is>
      </c>
      <c r="E86" s="5" t="inlineStr">
        <is>
          <t>4.500,00</t>
        </is>
      </c>
      <c r="F86" s="4" t="inlineStr">
        <is>
          <t>250.00</t>
        </is>
      </c>
    </row>
    <row collapsed="false" customFormat="false" customHeight="false" hidden="false" ht="12.1" outlineLevel="0" r="87">
      <c r="A87" s="5" t="s">
        <f>=HYPERLINK("https://www.leilaoonline.com.br/lote/detalhe/259916", "11585")</f>
      </c>
      <c r="B87" s="4" t="s">
        <f>=HYPERLINK("https://www.leilaoonline.com.br/lote/detalhe/259916", "REDUTOR. - PAT.259369. - LOC. COSTA PINTO ")</f>
      </c>
      <c r="C87" s="4" t="inlineStr">
        <is>
          <t>Vendido</t>
        </is>
      </c>
      <c r="D87" s="4" t="inlineStr">
        <is>
          <t>3</t>
        </is>
      </c>
      <c r="E87" s="5" t="inlineStr">
        <is>
          <t>3.500,00</t>
        </is>
      </c>
      <c r="F87" s="4" t="inlineStr">
        <is>
          <t>500.00</t>
        </is>
      </c>
    </row>
    <row collapsed="false" customFormat="false" customHeight="false" hidden="false" ht="12.1" outlineLevel="0" r="88">
      <c r="A88" s="5" t="s">
        <f>=HYPERLINK("https://www.leilaoonline.com.br/lote/detalhe/259917", "11586")</f>
      </c>
      <c r="B88" s="4" t="s">
        <f>=HYPERLINK("https://www.leilaoonline.com.br/lote/detalhe/259917", "REDUTOR. - S/FR. - LOC. COSTA PINTO ")</f>
      </c>
      <c r="C88" s="4" t="inlineStr">
        <is>
          <t>Vendido</t>
        </is>
      </c>
      <c r="D88" s="4" t="inlineStr">
        <is>
          <t>7</t>
        </is>
      </c>
      <c r="E88" s="5" t="inlineStr">
        <is>
          <t>4.000,00</t>
        </is>
      </c>
      <c r="F88" s="4" t="inlineStr">
        <is>
          <t>250.00</t>
        </is>
      </c>
    </row>
    <row collapsed="false" customFormat="false" customHeight="false" hidden="false" ht="12.1" outlineLevel="0" r="89">
      <c r="A89" s="5" t="s">
        <f>=HYPERLINK("https://www.leilaoonline.com.br/lote/detalhe/259918", "11587")</f>
      </c>
      <c r="B89" s="4" t="s">
        <f>=HYPERLINK("https://www.leilaoonline.com.br/lote/detalhe/259918", "LOTE DE 5 SUCATAS DE BOMBAS BB CEN INDSTEEL. - FR56309/255539/57596. - LOC.COSTA PINTO ")</f>
      </c>
      <c r="C89" s="4" t="inlineStr">
        <is>
          <t>Não vendido</t>
        </is>
      </c>
      <c r="D89" s="4" t="inlineStr">
        <is>
          <t>0</t>
        </is>
      </c>
      <c r="E89" s="5" t="inlineStr">
        <is>
          <t>1.000,00</t>
        </is>
      </c>
      <c r="F89" s="4" t="inlineStr">
        <is>
          <t>250.00</t>
        </is>
      </c>
    </row>
    <row collapsed="false" customFormat="false" customHeight="false" hidden="false" ht="12.1" outlineLevel="0" r="90">
      <c r="A90" s="5" t="s">
        <f>=HYPERLINK("https://www.leilaoonline.com.br/lote/detalhe/259919", "11588")</f>
      </c>
      <c r="B90" s="4" t="s">
        <f>=HYPERLINK("https://www.leilaoonline.com.br/lote/detalhe/259919", "IMPLEMENTO MUNCK HINCOL. - S/FR. - LOC. COSTA PINTO ")</f>
      </c>
      <c r="C90" s="4" t="inlineStr">
        <is>
          <t>Vendido</t>
        </is>
      </c>
      <c r="D90" s="4" t="inlineStr">
        <is>
          <t>61</t>
        </is>
      </c>
      <c r="E90" s="5" t="inlineStr">
        <is>
          <t>62.000,00</t>
        </is>
      </c>
      <c r="F90" s="4" t="inlineStr">
        <is>
          <t>1000.00</t>
        </is>
      </c>
    </row>
    <row collapsed="false" customFormat="false" customHeight="false" hidden="false" ht="12.1" outlineLevel="0" r="91">
      <c r="A91" s="5" t="s">
        <f>=HYPERLINK("https://www.leilaoonline.com.br/lote/detalhe/259920", "11589")</f>
      </c>
      <c r="B91" s="4" t="s">
        <f>=HYPERLINK("https://www.leilaoonline.com.br/lote/detalhe/259920", "REDUTOR . - RD700362. - LOC. COSTA PINTO ")</f>
      </c>
      <c r="C91" s="4" t="inlineStr">
        <is>
          <t>Vendido</t>
        </is>
      </c>
      <c r="D91" s="4" t="inlineStr">
        <is>
          <t>2</t>
        </is>
      </c>
      <c r="E91" s="5" t="inlineStr">
        <is>
          <t>2.200,00</t>
        </is>
      </c>
      <c r="F91" s="4" t="inlineStr">
        <is>
          <t>200.00</t>
        </is>
      </c>
    </row>
    <row collapsed="false" customFormat="false" customHeight="false" hidden="false" ht="12.1" outlineLevel="0" r="92">
      <c r="A92" s="5" t="s">
        <f>=HYPERLINK("https://www.leilaoonline.com.br/lote/detalhe/259921", "11590")</f>
      </c>
      <c r="B92" s="4" t="s">
        <f>=HYPERLINK("https://www.leilaoonline.com.br/lote/detalhe/259921", "CARRINHO DE PONTE 3 TON. - S/FR. - LOC. COSTA PINTO ")</f>
      </c>
      <c r="C92" s="4" t="inlineStr">
        <is>
          <t>Vendido</t>
        </is>
      </c>
      <c r="D92" s="4" t="inlineStr">
        <is>
          <t>2</t>
        </is>
      </c>
      <c r="E92" s="5" t="inlineStr">
        <is>
          <t>2.200,00</t>
        </is>
      </c>
      <c r="F92" s="4" t="inlineStr">
        <is>
          <t>200.00</t>
        </is>
      </c>
    </row>
    <row collapsed="false" customFormat="false" customHeight="false" hidden="false" ht="12.1" outlineLevel="0" r="93">
      <c r="A93" s="5" t="s">
        <f>=HYPERLINK("https://www.leilaoonline.com.br/lote/detalhe/259922", "11591")</f>
      </c>
      <c r="B93" s="4" t="s">
        <f>=HYPERLINK("https://www.leilaoonline.com.br/lote/detalhe/259922", "CARRINHO DE PONTE 3 TON. - S/FR. - LOC. COSTA PINTO")</f>
      </c>
      <c r="C93" s="4" t="inlineStr">
        <is>
          <t>Vendido</t>
        </is>
      </c>
      <c r="D93" s="4" t="inlineStr">
        <is>
          <t>3</t>
        </is>
      </c>
      <c r="E93" s="5" t="inlineStr">
        <is>
          <t>2.400,00</t>
        </is>
      </c>
      <c r="F93" s="4" t="inlineStr">
        <is>
          <t>200.00</t>
        </is>
      </c>
    </row>
    <row collapsed="false" customFormat="false" customHeight="false" hidden="false" ht="12.1" outlineLevel="0" r="94">
      <c r="A94" s="5" t="s">
        <f>=HYPERLINK("https://www.leilaoonline.com.br/lote/detalhe/259923", "11592")</f>
      </c>
      <c r="B94" s="4" t="s">
        <f>=HYPERLINK("https://www.leilaoonline.com.br/lote/detalhe/259923", "BOMBA CENTRIFUGA VAZAO 400 M3H ENVIROTECH 8X8 SRC e REDUTOR. - FR57084 - 58937. - LOC. COSTA PINTO ")</f>
      </c>
      <c r="C94" s="4" t="inlineStr">
        <is>
          <t>Não vendido</t>
        </is>
      </c>
      <c r="D94" s="4" t="inlineStr">
        <is>
          <t>1</t>
        </is>
      </c>
      <c r="E94" s="5" t="inlineStr">
        <is>
          <t>3.000,00</t>
        </is>
      </c>
      <c r="F94" s="4" t="inlineStr">
        <is>
          <t>250.00</t>
        </is>
      </c>
    </row>
    <row collapsed="false" customFormat="false" customHeight="false" hidden="false" ht="12.1" outlineLevel="0" r="95">
      <c r="A95" s="5" t="s">
        <f>=HYPERLINK("https://www.leilaoonline.com.br/lote/detalhe/259924", "11599")</f>
      </c>
      <c r="B95" s="4" t="s">
        <f>=HYPERLINK("https://www.leilaoonline.com.br/lote/detalhe/259924", "LOTE DE EQUIPAMENTO INDUSTRIAL APROX. 2 BOMBAS, 7 REDUTORES CARCAÇAS .- FR327973-327962-327957-055544-259915-255534. - LOC. COSTA PINTO ")</f>
      </c>
      <c r="C95" s="4" t="inlineStr">
        <is>
          <t>Não vendido</t>
        </is>
      </c>
      <c r="D95" s="4" t="inlineStr">
        <is>
          <t>0</t>
        </is>
      </c>
      <c r="E95" s="5" t="inlineStr">
        <is>
          <t>1.500,00</t>
        </is>
      </c>
      <c r="F95" s="4" t="inlineStr">
        <is>
          <t>250.00</t>
        </is>
      </c>
    </row>
    <row collapsed="false" customFormat="false" customHeight="false" hidden="false" ht="12.1" outlineLevel="0" r="96">
      <c r="A96" s="5" t="s">
        <f>=HYPERLINK("https://www.leilaoonline.com.br/lote/detalhe/259256", "11602")</f>
      </c>
      <c r="B96" s="4" t="s">
        <f>=HYPERLINK("https://www.leilaoonline.com.br/lote/detalhe/259256", " TRATOR VALTRA BH 210. - FR91389; ANO 2014. - LOC. DESTIVALE ")</f>
      </c>
      <c r="C96" s="4" t="inlineStr">
        <is>
          <t>Vendido</t>
        </is>
      </c>
      <c r="D96" s="4" t="inlineStr">
        <is>
          <t>78</t>
        </is>
      </c>
      <c r="E96" s="5" t="inlineStr">
        <is>
          <t>110.000,00</t>
        </is>
      </c>
      <c r="F96" s="4" t="inlineStr">
        <is>
          <t>1000.00</t>
        </is>
      </c>
    </row>
    <row collapsed="false" customFormat="false" customHeight="false" hidden="false" ht="12.1" outlineLevel="0" r="97">
      <c r="A97" s="5" t="s">
        <f>=HYPERLINK("https://www.leilaoonline.com.br/lote/detalhe/259265", "11606")</f>
      </c>
      <c r="B97" s="4" t="s">
        <f>=HYPERLINK("https://www.leilaoonline.com.br/lote/detalhe/259265", " TRATOR VALTRA BH 210; ANO 2014. - FR81543. - LOC. DESTIVALE (VINHAÇA) ")</f>
      </c>
      <c r="C97" s="4" t="inlineStr">
        <is>
          <t>Vendido</t>
        </is>
      </c>
      <c r="D97" s="4" t="inlineStr">
        <is>
          <t>70</t>
        </is>
      </c>
      <c r="E97" s="5" t="inlineStr">
        <is>
          <t>89.000,00</t>
        </is>
      </c>
      <c r="F97" s="4" t="inlineStr">
        <is>
          <t>1000.00</t>
        </is>
      </c>
    </row>
    <row collapsed="false" customFormat="false" customHeight="false" hidden="false" ht="12.1" outlineLevel="0" r="98">
      <c r="A98" s="5" t="s">
        <f>=HYPERLINK("https://www.leilaoonline.com.br/lote/detalhe/259259", "11607")</f>
      </c>
      <c r="B98" s="4" t="s">
        <f>=HYPERLINK("https://www.leilaoonline.com.br/lote/detalhe/259259", " 2 COLHEDORAS; ANO 2017 E 2022; (QUEIMADAS). - FR91533/FR98211. - LOC. DESTIVALE ")</f>
      </c>
      <c r="C98" s="4" t="inlineStr">
        <is>
          <t>Não vendido</t>
        </is>
      </c>
      <c r="D98" s="4" t="inlineStr">
        <is>
          <t>1</t>
        </is>
      </c>
      <c r="E98" s="5" t="inlineStr">
        <is>
          <t>20.000,00</t>
        </is>
      </c>
      <c r="F98" s="4" t="inlineStr">
        <is>
          <t>1000.00</t>
        </is>
      </c>
    </row>
    <row collapsed="false" customFormat="false" customHeight="false" hidden="false" ht="12.1" outlineLevel="0" r="99">
      <c r="A99" s="5" t="s">
        <f>=HYPERLINK("https://www.leilaoonline.com.br/lote/detalhe/259277", "11608")</f>
      </c>
      <c r="B99" s="4" t="s">
        <f>=HYPERLINK("https://www.leilaoonline.com.br/lote/detalhe/259277", " CAMINHÃO GM/CHEVROLET D70; ANO 1981/1981; BEGE. - FR91285 - (VENDA SOMENTE PARA COMPRADORES DO ESTADO DE SÃO PAULO). - LOC. DESTIVALE ")</f>
      </c>
      <c r="C99" s="4" t="inlineStr">
        <is>
          <t>Não vendido</t>
        </is>
      </c>
      <c r="D99" s="4" t="inlineStr">
        <is>
          <t>7</t>
        </is>
      </c>
      <c r="E99" s="5" t="inlineStr">
        <is>
          <t>8.000,00</t>
        </is>
      </c>
      <c r="F99" s="4" t="inlineStr">
        <is>
          <t>500.00</t>
        </is>
      </c>
    </row>
    <row collapsed="false" customFormat="false" customHeight="false" hidden="false" ht="12.1" outlineLevel="0" r="100">
      <c r="A100" s="5" t="s">
        <f>=HYPERLINK("https://www.leilaoonline.com.br/lote/detalhe/259261", "11609")</f>
      </c>
      <c r="B100" s="4" t="s">
        <f>=HYPERLINK("https://www.leilaoonline.com.br/lote/detalhe/259261", " CAÇAMBA PÁ DE CARREGADEIRA.- S/FR. - LOC. DESTIVALE ")</f>
      </c>
      <c r="C100" s="4" t="inlineStr">
        <is>
          <t>Não vendido</t>
        </is>
      </c>
      <c r="D100" s="4" t="inlineStr">
        <is>
          <t>0</t>
        </is>
      </c>
      <c r="E100" s="5" t="inlineStr">
        <is>
          <t>2.000,00</t>
        </is>
      </c>
      <c r="F100" s="4" t="inlineStr">
        <is>
          <t>500.00</t>
        </is>
      </c>
    </row>
    <row collapsed="false" customFormat="false" customHeight="false" hidden="false" ht="12.1" outlineLevel="0" r="101">
      <c r="A101" s="5" t="s">
        <f>=HYPERLINK("https://www.leilaoonline.com.br/lote/detalhe/259253", "11610")</f>
      </c>
      <c r="B101" s="4" t="s">
        <f>=HYPERLINK("https://www.leilaoonline.com.br/lote/detalhe/259253", " 2 TURBINAS CAIXA DE REDUÇÃO. - FR065260/FR226474. - LOC. DESTIVALE")</f>
      </c>
      <c r="C101" s="4" t="inlineStr">
        <is>
          <t>Não vendido</t>
        </is>
      </c>
      <c r="D101" s="4" t="inlineStr">
        <is>
          <t>6</t>
        </is>
      </c>
      <c r="E101" s="5" t="inlineStr">
        <is>
          <t>4.750,00</t>
        </is>
      </c>
      <c r="F101" s="4" t="inlineStr">
        <is>
          <t>250.00</t>
        </is>
      </c>
    </row>
    <row collapsed="false" customFormat="false" customHeight="false" hidden="false" ht="12.1" outlineLevel="0" r="102">
      <c r="A102" s="5" t="s">
        <f>=HYPERLINK("https://www.leilaoonline.com.br/lote/detalhe/259260", "11611")</f>
      </c>
      <c r="B102" s="4" t="s">
        <f>=HYPERLINK("https://www.leilaoonline.com.br/lote/detalhe/259260", " SEMI REBOQUE USICAMP SRCP E2 10000; ANO 2008/2008; AZUL. - FR96296. - LOC.GASA ")</f>
      </c>
      <c r="C102" s="4" t="inlineStr">
        <is>
          <t>Não vendido</t>
        </is>
      </c>
      <c r="D102" s="4" t="inlineStr">
        <is>
          <t>1</t>
        </is>
      </c>
      <c r="E102" s="5" t="inlineStr">
        <is>
          <t>10.000,00</t>
        </is>
      </c>
      <c r="F102" s="4" t="inlineStr">
        <is>
          <t>1000.00</t>
        </is>
      </c>
    </row>
    <row collapsed="false" customFormat="false" customHeight="false" hidden="false" ht="12.1" outlineLevel="0" r="103">
      <c r="A103" s="5" t="s">
        <f>=HYPERLINK("https://www.leilaoonline.com.br/lote/detalhe/259262", "11612")</f>
      </c>
      <c r="B103" s="4" t="s">
        <f>=HYPERLINK("https://www.leilaoonline.com.br/lote/detalhe/259262", " TUBO DE ALUMINIO AMASSADO. - S/FR. - LOC.GASA")</f>
      </c>
      <c r="C103" s="4" t="inlineStr">
        <is>
          <t>Não vendido</t>
        </is>
      </c>
      <c r="D103" s="4" t="inlineStr">
        <is>
          <t>10</t>
        </is>
      </c>
      <c r="E103" s="5" t="inlineStr">
        <is>
          <t>4.000,00</t>
        </is>
      </c>
      <c r="F103" s="4" t="inlineStr">
        <is>
          <t>250.00</t>
        </is>
      </c>
    </row>
    <row collapsed="false" customFormat="false" customHeight="false" hidden="false" ht="12.1" outlineLevel="0" r="104">
      <c r="A104" s="5" t="s">
        <f>=HYPERLINK("https://www.leilaoonline.com.br/lote/detalhe/259258", "11613")</f>
      </c>
      <c r="B104" s="4" t="s">
        <f>=HYPERLINK("https://www.leilaoonline.com.br/lote/detalhe/259258", "APROX. 30 PNEUS DE TRANSBORDO E 10 RODOVIÁRIOS SUCATEADOS . - S/FR. - LOC. GASA")</f>
      </c>
      <c r="C104" s="4" t="inlineStr">
        <is>
          <t>Vendido</t>
        </is>
      </c>
      <c r="D104" s="4" t="inlineStr">
        <is>
          <t>28</t>
        </is>
      </c>
      <c r="E104" s="5" t="inlineStr">
        <is>
          <t>18.500,00</t>
        </is>
      </c>
      <c r="F104" s="4" t="inlineStr">
        <is>
          <t>500.00</t>
        </is>
      </c>
    </row>
    <row collapsed="false" customFormat="false" customHeight="false" hidden="false" ht="12.1" outlineLevel="0" r="105">
      <c r="A105" s="5" t="s">
        <f>=HYPERLINK("https://www.leilaoonline.com.br/lote/detalhe/259275", "11614")</f>
      </c>
      <c r="B105" s="4" t="s">
        <f>=HYPERLINK("https://www.leilaoonline.com.br/lote/detalhe/259275", " REBOQUE RANDON SP RQ CA; ANO 2010/2010; AZUL. - FR112594. - LOC. GASA")</f>
      </c>
      <c r="C105" s="4" t="inlineStr">
        <is>
          <t>Vendido</t>
        </is>
      </c>
      <c r="D105" s="4" t="inlineStr">
        <is>
          <t>24</t>
        </is>
      </c>
      <c r="E105" s="5" t="inlineStr">
        <is>
          <t>38.000,00</t>
        </is>
      </c>
      <c r="F105" s="4" t="inlineStr">
        <is>
          <t>1000.00</t>
        </is>
      </c>
    </row>
    <row collapsed="false" customFormat="false" customHeight="false" hidden="false" ht="12.1" outlineLevel="0" r="106">
      <c r="A106" s="5" t="s">
        <f>=HYPERLINK("https://www.leilaoonline.com.br/lote/detalhe/259254", "11615")</f>
      </c>
      <c r="B106" s="4" t="s">
        <f>=HYPERLINK("https://www.leilaoonline.com.br/lote/detalhe/259254", " TRATOR CASE 235; ANO 2014. - FR81790. - LOC. BENALCOOL")</f>
      </c>
      <c r="C106" s="4" t="inlineStr">
        <is>
          <t>Vendido</t>
        </is>
      </c>
      <c r="D106" s="4" t="inlineStr">
        <is>
          <t>20</t>
        </is>
      </c>
      <c r="E106" s="5" t="inlineStr">
        <is>
          <t>87.500,00</t>
        </is>
      </c>
      <c r="F106" s="4" t="inlineStr">
        <is>
          <t>2500.00</t>
        </is>
      </c>
    </row>
    <row collapsed="false" customFormat="false" customHeight="false" hidden="false" ht="12.1" outlineLevel="0" r="107">
      <c r="A107" s="5" t="s">
        <f>=HYPERLINK("https://www.leilaoonline.com.br/lote/detalhe/259281", "11617")</f>
      </c>
      <c r="B107" s="4" t="s">
        <f>=HYPERLINK("https://www.leilaoonline.com.br/lote/detalhe/259281", " TANQUE DE FIBRA. - S/FR. - LOC.UNIVALEM ")</f>
      </c>
      <c r="C107" s="4" t="inlineStr">
        <is>
          <t>Vendido</t>
        </is>
      </c>
      <c r="D107" s="4" t="inlineStr">
        <is>
          <t>5</t>
        </is>
      </c>
      <c r="E107" s="5" t="inlineStr">
        <is>
          <t>4.500,00</t>
        </is>
      </c>
      <c r="F107" s="4" t="inlineStr">
        <is>
          <t>500.00</t>
        </is>
      </c>
    </row>
    <row collapsed="false" customFormat="false" customHeight="false" hidden="false" ht="12.1" outlineLevel="0" r="108">
      <c r="A108" s="5" t="s">
        <f>=HYPERLINK("https://www.leilaoonline.com.br/lote/detalhe/259257", "11618")</f>
      </c>
      <c r="B108" s="4" t="s">
        <f>=HYPERLINK("https://www.leilaoonline.com.br/lote/detalhe/259257", " SUCATAS DE 3 PARTES DE CAIXA DE EVAPORAÇÃO. - S/FR. - LOC. UNIVALEM ")</f>
      </c>
      <c r="C108" s="4" t="inlineStr">
        <is>
          <t>Não vendido</t>
        </is>
      </c>
      <c r="D108" s="4" t="inlineStr">
        <is>
          <t>42</t>
        </is>
      </c>
      <c r="E108" s="5" t="inlineStr">
        <is>
          <t>33.000,00</t>
        </is>
      </c>
      <c r="F108" s="4" t="inlineStr">
        <is>
          <t>1000.00</t>
        </is>
      </c>
    </row>
    <row collapsed="false" customFormat="false" customHeight="false" hidden="false" ht="12.1" outlineLevel="0" r="109">
      <c r="A109" s="5" t="s">
        <f>=HYPERLINK("https://www.leilaoonline.com.br/lote/detalhe/259267", "11619")</f>
      </c>
      <c r="B109" s="4" t="s">
        <f>=HYPERLINK("https://www.leilaoonline.com.br/lote/detalhe/259267", " APROX. 45 RODAS. - S/FR. - LOC. UNIVALEM ")</f>
      </c>
      <c r="C109" s="4" t="inlineStr">
        <is>
          <t>Vendido</t>
        </is>
      </c>
      <c r="D109" s="4" t="inlineStr">
        <is>
          <t>39</t>
        </is>
      </c>
      <c r="E109" s="5" t="inlineStr">
        <is>
          <t>13.750,00</t>
        </is>
      </c>
      <c r="F109" s="4" t="inlineStr">
        <is>
          <t>500.00</t>
        </is>
      </c>
    </row>
    <row collapsed="false" customFormat="false" customHeight="false" hidden="false" ht="12.1" outlineLevel="0" r="110">
      <c r="A110" s="5" t="s">
        <f>=HYPERLINK("https://www.leilaoonline.com.br/lote/detalhe/259255", "11620")</f>
      </c>
      <c r="B110" s="4" t="s">
        <f>=HYPERLINK("https://www.leilaoonline.com.br/lote/detalhe/259255", " LOTE DE 3 MOTORES. - S/FR. - LOC. UNIVALEM ")</f>
      </c>
      <c r="C110" s="4" t="inlineStr">
        <is>
          <t>Vendido</t>
        </is>
      </c>
      <c r="D110" s="4" t="inlineStr">
        <is>
          <t>11</t>
        </is>
      </c>
      <c r="E110" s="5" t="inlineStr">
        <is>
          <t>11.000,00</t>
        </is>
      </c>
      <c r="F110" s="4" t="inlineStr">
        <is>
          <t>500.00</t>
        </is>
      </c>
    </row>
    <row collapsed="false" customFormat="false" customHeight="false" hidden="false" ht="12.1" outlineLevel="0" r="111">
      <c r="A111" s="5" t="s">
        <f>=HYPERLINK("https://www.leilaoonline.com.br/lote/detalhe/259280", "11621")</f>
      </c>
      <c r="B111" s="4" t="s">
        <f>=HYPERLINK("https://www.leilaoonline.com.br/lote/detalhe/259280", " 4 ELEVADORES DE COLHEDORA E 1 CABINE. - S/FR. - LOC.UNIVALEM ")</f>
      </c>
      <c r="C111" s="4" t="inlineStr">
        <is>
          <t>Vendido</t>
        </is>
      </c>
      <c r="D111" s="4" t="inlineStr">
        <is>
          <t>1</t>
        </is>
      </c>
      <c r="E111" s="5" t="inlineStr">
        <is>
          <t>3.000,00</t>
        </is>
      </c>
      <c r="F111" s="4" t="inlineStr">
        <is>
          <t>500.00</t>
        </is>
      </c>
    </row>
    <row collapsed="false" customFormat="false" customHeight="false" hidden="false" ht="12.1" outlineLevel="0" r="112">
      <c r="A112" s="5" t="s">
        <f>=HYPERLINK("https://www.leilaoonline.com.br/lote/detalhe/259279", "11622")</f>
      </c>
      <c r="B112" s="4" t="s">
        <f>=HYPERLINK("https://www.leilaoonline.com.br/lote/detalhe/259279", " TRATOR JOHN DEERE; ANO 2017. - FR84572. - (QUEIMADO). - LOC.UNIVALEM ")</f>
      </c>
      <c r="C112" s="4" t="inlineStr">
        <is>
          <t>Não vendido</t>
        </is>
      </c>
      <c r="D112" s="4" t="inlineStr">
        <is>
          <t>42</t>
        </is>
      </c>
      <c r="E112" s="5" t="inlineStr">
        <is>
          <t>52.000,00</t>
        </is>
      </c>
      <c r="F112" s="4" t="inlineStr">
        <is>
          <t>1000.00</t>
        </is>
      </c>
    </row>
    <row collapsed="false" customFormat="false" customHeight="false" hidden="false" ht="12.1" outlineLevel="0" r="113">
      <c r="A113" s="5" t="s">
        <f>=HYPERLINK("https://www.leilaoonline.com.br/lote/detalhe/259272", "11623")</f>
      </c>
      <c r="B113" s="4" t="s">
        <f>=HYPERLINK("https://www.leilaoonline.com.br/lote/detalhe/259272", " TRATOR JOHN DEERE; ANO 2019. - (QUEIMADO). - FR173370 - LOC.UNIVALEM ")</f>
      </c>
      <c r="C113" s="4" t="inlineStr">
        <is>
          <t>Vendido</t>
        </is>
      </c>
      <c r="D113" s="4" t="inlineStr">
        <is>
          <t>32</t>
        </is>
      </c>
      <c r="E113" s="5" t="inlineStr">
        <is>
          <t>41.000,00</t>
        </is>
      </c>
      <c r="F113" s="4" t="inlineStr">
        <is>
          <t>1000.00</t>
        </is>
      </c>
    </row>
    <row collapsed="false" customFormat="false" customHeight="false" hidden="false" ht="12.1" outlineLevel="0" r="114">
      <c r="A114" s="5" t="s">
        <f>=HYPERLINK("https://www.leilaoonline.com.br/lote/detalhe/259271", "11624")</f>
      </c>
      <c r="B114" s="4" t="s">
        <f>=HYPERLINK("https://www.leilaoonline.com.br/lote/detalhe/259271", " 4 TANQUES DE IMPLEMENTO. - S/FR. - LOC. UNIVALEM ")</f>
      </c>
      <c r="C114" s="4" t="inlineStr">
        <is>
          <t>Não vendido</t>
        </is>
      </c>
      <c r="D114" s="4" t="inlineStr">
        <is>
          <t>0</t>
        </is>
      </c>
      <c r="E114" s="5" t="inlineStr">
        <is>
          <t>200,00</t>
        </is>
      </c>
      <c r="F114" s="4" t="inlineStr">
        <is>
          <t>50.00</t>
        </is>
      </c>
    </row>
    <row collapsed="false" customFormat="false" customHeight="false" hidden="false" ht="12.1" outlineLevel="0" r="115">
      <c r="A115" s="5" t="s">
        <f>=HYPERLINK("https://www.leilaoonline.com.br/lote/detalhe/259269", "11625")</f>
      </c>
      <c r="B115" s="4" t="s">
        <f>=HYPERLINK("https://www.leilaoonline.com.br/lote/detalhe/259269", " TRATOR VALTRA BH210; ANO 2013. - FR116529. - LOC. UNIVALEM ")</f>
      </c>
      <c r="C115" s="4" t="inlineStr">
        <is>
          <t>Vendido</t>
        </is>
      </c>
      <c r="D115" s="4" t="inlineStr">
        <is>
          <t>117</t>
        </is>
      </c>
      <c r="E115" s="5" t="inlineStr">
        <is>
          <t>136.000,00</t>
        </is>
      </c>
      <c r="F115" s="4" t="inlineStr">
        <is>
          <t>1000.00</t>
        </is>
      </c>
    </row>
    <row collapsed="false" customFormat="false" customHeight="false" hidden="false" ht="12.1" outlineLevel="0" r="116">
      <c r="A116" s="5" t="s">
        <f>=HYPERLINK("https://www.leilaoonline.com.br/lote/detalhe/259274", "11626")</f>
      </c>
      <c r="B116" s="4" t="s">
        <f>=HYPERLINK("https://www.leilaoonline.com.br/lote/detalhe/259274", " TRATOR CASE 235; ANO 2014. - FR23241. - LOC. UNIVALEM ")</f>
      </c>
      <c r="C116" s="4" t="inlineStr">
        <is>
          <t>Não vendido</t>
        </is>
      </c>
      <c r="D116" s="4" t="inlineStr">
        <is>
          <t>11</t>
        </is>
      </c>
      <c r="E116" s="5" t="inlineStr">
        <is>
          <t>65.000,00</t>
        </is>
      </c>
      <c r="F116" s="4" t="inlineStr">
        <is>
          <t>2500.00</t>
        </is>
      </c>
    </row>
    <row collapsed="false" customFormat="false" customHeight="false" hidden="false" ht="12.1" outlineLevel="0" r="117">
      <c r="A117" s="5" t="s">
        <f>=HYPERLINK("https://www.leilaoonline.com.br/lote/detalhe/259867", "11627")</f>
      </c>
      <c r="B117" s="4" t="s">
        <f>=HYPERLINK("https://www.leilaoonline.com.br/lote/detalhe/259867", "CAMINHÃO VOLKSWAGEM 31.330 CRC 6X4; ANO 2021/2022; BRANCA. - FR11801321  (VENDA SEM DOCUMENTO/ SOMENTE PARA COMPRADORES DO ESTADO DE SÃO PAULO). - LOC. VALE DO ROSÁRIO ")</f>
      </c>
      <c r="C117" s="4" t="inlineStr">
        <is>
          <t>Vendido</t>
        </is>
      </c>
      <c r="D117" s="4" t="inlineStr">
        <is>
          <t>38</t>
        </is>
      </c>
      <c r="E117" s="5" t="inlineStr">
        <is>
          <t>30.500,00</t>
        </is>
      </c>
      <c r="F117" s="4" t="inlineStr">
        <is>
          <t>1000.00</t>
        </is>
      </c>
    </row>
    <row collapsed="false" customFormat="false" customHeight="false" hidden="false" ht="12.1" outlineLevel="0" r="118">
      <c r="A118" s="5" t="s">
        <f>=HYPERLINK("https://www.leilaoonline.com.br/lote/detalhe/259880", "11628")</f>
      </c>
      <c r="B118" s="4" t="s">
        <f>=HYPERLINK("https://www.leilaoonline.com.br/lote/detalhe/259880", " CARRETINHA SERVIÇOS DIVERSOS 2 EIXOS C/MOTOGERADOR; ANO 2005. - FR92827. - LOC. JUNQUEIRA ")</f>
      </c>
      <c r="C118" s="4" t="inlineStr">
        <is>
          <t>Vendido</t>
        </is>
      </c>
      <c r="D118" s="4" t="inlineStr">
        <is>
          <t>3</t>
        </is>
      </c>
      <c r="E118" s="5" t="inlineStr">
        <is>
          <t>6.000,00</t>
        </is>
      </c>
      <c r="F118" s="4" t="inlineStr">
        <is>
          <t>500.00</t>
        </is>
      </c>
    </row>
    <row collapsed="false" customFormat="false" customHeight="false" hidden="false" ht="12.1" outlineLevel="0" r="119">
      <c r="A119" s="5" t="s">
        <f>=HYPERLINK("https://www.leilaoonline.com.br/lote/detalhe/259879", "11629")</f>
      </c>
      <c r="B119" s="4" t="s">
        <f>=HYPERLINK("https://www.leilaoonline.com.br/lote/detalhe/259879", " 01 BETONEIRA IRBI, 01 BETONEIRA METALPALMA MOD BM400. - FR181868/FR181471. - LOC. JUNQUEIRA ")</f>
      </c>
      <c r="C119" s="4" t="inlineStr">
        <is>
          <t>Não vendido</t>
        </is>
      </c>
      <c r="D119" s="4" t="inlineStr">
        <is>
          <t>1</t>
        </is>
      </c>
      <c r="E119" s="5" t="inlineStr">
        <is>
          <t>1.000,00</t>
        </is>
      </c>
      <c r="F119" s="4" t="inlineStr">
        <is>
          <t>150.00</t>
        </is>
      </c>
    </row>
    <row collapsed="false" customFormat="false" customHeight="false" hidden="false" ht="12.1" outlineLevel="0" r="120">
      <c r="A120" s="5" t="s">
        <f>=HYPERLINK("https://www.leilaoonline.com.br/lote/detalhe/259873", "11631")</f>
      </c>
      <c r="B120" s="4" t="s">
        <f>=HYPERLINK("https://www.leilaoonline.com.br/lote/detalhe/259873", " CARRETINHA CAÇAMBA 02 EIXOS; ANO 2003. - FR92651. - LOC. JUNQUEIRA")</f>
      </c>
      <c r="C120" s="4" t="inlineStr">
        <is>
          <t>Vendido</t>
        </is>
      </c>
      <c r="D120" s="4" t="inlineStr">
        <is>
          <t>12</t>
        </is>
      </c>
      <c r="E120" s="5" t="inlineStr">
        <is>
          <t>8.000,00</t>
        </is>
      </c>
      <c r="F120" s="4" t="inlineStr">
        <is>
          <t>500.00</t>
        </is>
      </c>
    </row>
    <row collapsed="false" customFormat="false" customHeight="false" hidden="false" ht="12.1" outlineLevel="0" r="121">
      <c r="A121" s="5" t="s">
        <f>=HYPERLINK("https://www.leilaoonline.com.br/lote/detalhe/259870", "11632")</f>
      </c>
      <c r="B121" s="4" t="s">
        <f>=HYPERLINK("https://www.leilaoonline.com.br/lote/detalhe/259870", " COMPRESSOR DE AR SCHULZ C/MOTOR. - A9001172 . - LOC. JUNQUEIRA ")</f>
      </c>
      <c r="C121" s="4" t="inlineStr">
        <is>
          <t>Não vendido</t>
        </is>
      </c>
      <c r="D121" s="4" t="inlineStr">
        <is>
          <t>4</t>
        </is>
      </c>
      <c r="E121" s="5" t="inlineStr">
        <is>
          <t>1.600,00</t>
        </is>
      </c>
      <c r="F121" s="4" t="inlineStr">
        <is>
          <t>200.00</t>
        </is>
      </c>
    </row>
    <row collapsed="false" customFormat="false" customHeight="false" hidden="false" ht="12.1" outlineLevel="0" r="122">
      <c r="A122" s="5" t="s">
        <f>=HYPERLINK("https://www.leilaoonline.com.br/lote/detalhe/259877", "11633")</f>
      </c>
      <c r="B122" s="4" t="s">
        <f>=HYPERLINK("https://www.leilaoonline.com.br/lote/detalhe/259877", " AR CONDICIONADO SENDO; 03 EVAPORADOR DE AR E 02 CONDENSADORA DE AR. - S/FR. - LOC. JUNQUEIRA ")</f>
      </c>
      <c r="C122" s="4" t="inlineStr">
        <is>
          <t>Não vendido</t>
        </is>
      </c>
      <c r="D122" s="4" t="inlineStr">
        <is>
          <t>0</t>
        </is>
      </c>
      <c r="E122" s="5" t="inlineStr">
        <is>
          <t>1.500,00</t>
        </is>
      </c>
      <c r="F122" s="4" t="inlineStr">
        <is>
          <t>250.00</t>
        </is>
      </c>
    </row>
    <row collapsed="false" customFormat="false" customHeight="false" hidden="false" ht="12.1" outlineLevel="0" r="123">
      <c r="A123" s="5" t="s">
        <f>=HYPERLINK("https://www.leilaoonline.com.br/lote/detalhe/259881", "11634")</f>
      </c>
      <c r="B123" s="4" t="s">
        <f>=HYPERLINK("https://www.leilaoonline.com.br/lote/detalhe/259881", " BALANÇA MANUAL. - FR1175016. - LOC. JUNQUEIRA ")</f>
      </c>
      <c r="C123" s="4" t="inlineStr">
        <is>
          <t>Não vendido</t>
        </is>
      </c>
      <c r="D123" s="4" t="inlineStr">
        <is>
          <t>0</t>
        </is>
      </c>
      <c r="E123" s="5" t="inlineStr">
        <is>
          <t>500,00</t>
        </is>
      </c>
      <c r="F123" s="4" t="inlineStr">
        <is>
          <t>100.00</t>
        </is>
      </c>
    </row>
    <row collapsed="false" customFormat="false" customHeight="false" hidden="false" ht="12.1" outlineLevel="0" r="124">
      <c r="A124" s="5" t="s">
        <f>=HYPERLINK("https://www.leilaoonline.com.br/lote/detalhe/259872", "11635")</f>
      </c>
      <c r="B124" s="4" t="s">
        <f>=HYPERLINK("https://www.leilaoonline.com.br/lote/detalhe/259872", " ESTEIRA ROLETES PEQUENA CURVA. - S/FR. - LOC. JUNQUEIRA ")</f>
      </c>
      <c r="C124" s="4" t="inlineStr">
        <is>
          <t>Vendido</t>
        </is>
      </c>
      <c r="D124" s="4" t="inlineStr">
        <is>
          <t>1</t>
        </is>
      </c>
      <c r="E124" s="5" t="inlineStr">
        <is>
          <t>2.000,00</t>
        </is>
      </c>
      <c r="F124" s="4" t="inlineStr">
        <is>
          <t>200.00</t>
        </is>
      </c>
    </row>
    <row collapsed="false" customFormat="false" customHeight="false" hidden="false" ht="12.1" outlineLevel="0" r="125">
      <c r="A125" s="5" t="s">
        <f>=HYPERLINK("https://www.leilaoonline.com.br/lote/detalhe/259850", "11637")</f>
      </c>
      <c r="B125" s="4" t="s">
        <f>=HYPERLINK("https://www.leilaoonline.com.br/lote/detalhe/259850", " CESTO DE ELEVAÇÃO DE PESSOAS USICAMP. - S/FR. - LOC. JUNQUEIRA ")</f>
      </c>
      <c r="C125" s="4" t="inlineStr">
        <is>
          <t>Vendido</t>
        </is>
      </c>
      <c r="D125" s="4" t="inlineStr">
        <is>
          <t>5</t>
        </is>
      </c>
      <c r="E125" s="5" t="inlineStr">
        <is>
          <t>2.800,00</t>
        </is>
      </c>
      <c r="F125" s="4" t="inlineStr">
        <is>
          <t>200.00</t>
        </is>
      </c>
    </row>
    <row collapsed="false" customFormat="false" customHeight="false" hidden="false" ht="12.1" outlineLevel="0" r="126">
      <c r="A126" s="5" t="s">
        <f>=HYPERLINK("https://www.leilaoonline.com.br/lote/detalhe/259860", "11638")</f>
      </c>
      <c r="B126" s="4" t="s">
        <f>=HYPERLINK("https://www.leilaoonline.com.br/lote/detalhe/259860", " CAMINHÃO SCANIA R113 E 6X4 360; ANO 1993/1993; BRANCA; S/MOTOR. - FR120671. - LOC. JUNQUEIRA")</f>
      </c>
      <c r="C126" s="4" t="inlineStr">
        <is>
          <t>Não vendido</t>
        </is>
      </c>
      <c r="D126" s="4" t="inlineStr">
        <is>
          <t>2</t>
        </is>
      </c>
      <c r="E126" s="5" t="inlineStr">
        <is>
          <t>10.500,00</t>
        </is>
      </c>
      <c r="F126" s="4" t="inlineStr">
        <is>
          <t>500.00</t>
        </is>
      </c>
    </row>
    <row collapsed="false" customFormat="false" customHeight="false" hidden="false" ht="12.1" outlineLevel="0" r="127">
      <c r="A127" s="5" t="s">
        <f>=HYPERLINK("https://www.leilaoonline.com.br/lote/detalhe/259854", "11639")</f>
      </c>
      <c r="B127" s="4" t="s">
        <f>=HYPERLINK("https://www.leilaoonline.com.br/lote/detalhe/259854", " CAMINHÃO SCANIA R113 E 6X4 360; ANO 1994/1994; BRANCA; S/MOTOR. - FR120741. - LOC. JUNQUEIRA")</f>
      </c>
      <c r="C127" s="4" t="inlineStr">
        <is>
          <t>Não vendido</t>
        </is>
      </c>
      <c r="D127" s="4" t="inlineStr">
        <is>
          <t>11</t>
        </is>
      </c>
      <c r="E127" s="5" t="inlineStr">
        <is>
          <t>10.000,00</t>
        </is>
      </c>
      <c r="F127" s="4" t="inlineStr">
        <is>
          <t>500.00</t>
        </is>
      </c>
    </row>
    <row collapsed="false" customFormat="false" customHeight="false" hidden="false" ht="12.1" outlineLevel="0" r="128">
      <c r="A128" s="5" t="s">
        <f>=HYPERLINK("https://www.leilaoonline.com.br/lote/detalhe/259852", "11640")</f>
      </c>
      <c r="B128" s="4" t="s">
        <f>=HYPERLINK("https://www.leilaoonline.com.br/lote/detalhe/259852", " REBOQUE FACCHINI; ANO 1995/1995; CINZA; C/TANQUE FIBRA; (VENDA SOMENTE PARA COMPRADORES DO ESTADO DE SÃO PAULO). - FR121291. - LOC. JUNQUEIRA")</f>
      </c>
      <c r="C128" s="4" t="inlineStr">
        <is>
          <t>Não vendido</t>
        </is>
      </c>
      <c r="D128" s="4" t="inlineStr">
        <is>
          <t>0</t>
        </is>
      </c>
      <c r="E128" s="5" t="inlineStr">
        <is>
          <t>10.000,00</t>
        </is>
      </c>
      <c r="F128" s="4" t="inlineStr">
        <is>
          <t>1000.00</t>
        </is>
      </c>
    </row>
    <row collapsed="false" customFormat="false" customHeight="false" hidden="false" ht="12.1" outlineLevel="0" r="129">
      <c r="A129" s="5" t="s">
        <f>=HYPERLINK("https://www.leilaoonline.com.br/lote/detalhe/259883", "11642")</f>
      </c>
      <c r="B129" s="4" t="s">
        <f>=HYPERLINK("https://www.leilaoonline.com.br/lote/detalhe/259883", " REDUTOR FLENDER BAIXA ACION 5° TERNO. - FR312520. - LOC. JUNQUEIRA ")</f>
      </c>
      <c r="C129" s="4" t="inlineStr">
        <is>
          <t>Não vendido</t>
        </is>
      </c>
      <c r="D129" s="4" t="inlineStr">
        <is>
          <t>3</t>
        </is>
      </c>
      <c r="E129" s="5" t="inlineStr">
        <is>
          <t>10.000,00</t>
        </is>
      </c>
      <c r="F129" s="4" t="inlineStr">
        <is>
          <t>500.00</t>
        </is>
      </c>
    </row>
    <row collapsed="false" customFormat="false" customHeight="false" hidden="false" ht="12.1" outlineLevel="0" r="130">
      <c r="A130" s="5" t="s">
        <f>=HYPERLINK("https://www.leilaoonline.com.br/lote/detalhe/259884", "11643")</f>
      </c>
      <c r="B130" s="4" t="s">
        <f>=HYPERLINK("https://www.leilaoonline.com.br/lote/detalhe/259884", " 03 VALVULAS. - S/FR. - LOC. JUNQUEIRA ")</f>
      </c>
      <c r="C130" s="4" t="inlineStr">
        <is>
          <t>Não vendido</t>
        </is>
      </c>
      <c r="D130" s="4" t="inlineStr">
        <is>
          <t>0</t>
        </is>
      </c>
      <c r="E130" s="5" t="inlineStr">
        <is>
          <t>1.000,00</t>
        </is>
      </c>
      <c r="F130" s="4" t="inlineStr">
        <is>
          <t>250.00</t>
        </is>
      </c>
    </row>
    <row collapsed="false" customFormat="false" customHeight="false" hidden="false" ht="12.1" outlineLevel="0" r="131">
      <c r="A131" s="5" t="s">
        <f>=HYPERLINK("https://www.leilaoonline.com.br/lote/detalhe/259878", "11644")</f>
      </c>
      <c r="B131" s="4" t="s">
        <f>=HYPERLINK("https://www.leilaoonline.com.br/lote/detalhe/259878", " REDUTOR ZANINI. - FR312476. - LOC. JUNQUEIRA")</f>
      </c>
      <c r="C131" s="4" t="inlineStr">
        <is>
          <t>Não vendido</t>
        </is>
      </c>
      <c r="D131" s="4" t="inlineStr">
        <is>
          <t>0</t>
        </is>
      </c>
      <c r="E131" s="5" t="inlineStr">
        <is>
          <t>1.000,00</t>
        </is>
      </c>
      <c r="F131" s="4" t="inlineStr">
        <is>
          <t>200.00</t>
        </is>
      </c>
    </row>
    <row collapsed="false" customFormat="false" customHeight="false" hidden="false" ht="12.1" outlineLevel="0" r="132">
      <c r="A132" s="5" t="s">
        <f>=HYPERLINK("https://www.leilaoonline.com.br/lote/detalhe/259875", "11645")</f>
      </c>
      <c r="B132" s="4" t="s">
        <f>=HYPERLINK("https://www.leilaoonline.com.br/lote/detalhe/259875", " TORRE DE RESFRIAMENTO - DESMONTADA FALTANDO PEÇAS. - S/FR. - LOC. JUNQUEIRA ")</f>
      </c>
      <c r="C132" s="4" t="inlineStr">
        <is>
          <t>Não vendido</t>
        </is>
      </c>
      <c r="D132" s="4" t="inlineStr">
        <is>
          <t>0</t>
        </is>
      </c>
      <c r="E132" s="5" t="inlineStr">
        <is>
          <t>2.500,00</t>
        </is>
      </c>
      <c r="F132" s="4" t="inlineStr">
        <is>
          <t>250.00</t>
        </is>
      </c>
    </row>
    <row collapsed="false" customFormat="false" customHeight="false" hidden="false" ht="12.1" outlineLevel="0" r="133">
      <c r="A133" s="5" t="s">
        <f>=HYPERLINK("https://www.leilaoonline.com.br/lote/detalhe/259871", "11646")</f>
      </c>
      <c r="B133" s="4" t="s">
        <f>=HYPERLINK("https://www.leilaoonline.com.br/lote/detalhe/259871", " LOTE COM DIVERSAS PEÇAS SENDO REDUTOR, CARCAÇA REDUTOR, MOTOBOMBA, TUBOS DE AÇO (APROX 12 PEÇAS).- R310579/R225184/A9001955/A9001444. - LOC. JUNQUEIRA ")</f>
      </c>
      <c r="C133" s="4" t="inlineStr">
        <is>
          <t>Não vendido</t>
        </is>
      </c>
      <c r="D133" s="4" t="inlineStr">
        <is>
          <t>4</t>
        </is>
      </c>
      <c r="E133" s="5" t="inlineStr">
        <is>
          <t>3.500,00</t>
        </is>
      </c>
      <c r="F133" s="4" t="inlineStr">
        <is>
          <t>150.00</t>
        </is>
      </c>
    </row>
    <row collapsed="false" customFormat="false" customHeight="false" hidden="false" ht="12.1" outlineLevel="0" r="134">
      <c r="A134" s="5" t="s">
        <f>=HYPERLINK("https://www.leilaoonline.com.br/lote/detalhe/259859", "11647")</f>
      </c>
      <c r="B134" s="4" t="s">
        <f>=HYPERLINK("https://www.leilaoonline.com.br/lote/detalhe/259859", " 13 CARCAÇAS DE PAINÉIS ELÉTRICOS. - S/FR. - LOC. JUNQUEIRA ")</f>
      </c>
      <c r="C134" s="4" t="inlineStr">
        <is>
          <t>Não vendido</t>
        </is>
      </c>
      <c r="D134" s="4" t="inlineStr">
        <is>
          <t>0</t>
        </is>
      </c>
      <c r="E134" s="5" t="inlineStr">
        <is>
          <t>1.000,00</t>
        </is>
      </c>
      <c r="F134" s="4" t="inlineStr">
        <is>
          <t>100.00</t>
        </is>
      </c>
    </row>
    <row collapsed="false" customFormat="false" customHeight="false" hidden="false" ht="12.1" outlineLevel="0" r="135">
      <c r="A135" s="5" t="s">
        <f>=HYPERLINK("https://www.leilaoonline.com.br/lote/detalhe/259882", "11648")</f>
      </c>
      <c r="B135" s="4" t="s">
        <f>=HYPERLINK("https://www.leilaoonline.com.br/lote/detalhe/259882", " 02 EXAUSTOR PEQUENO. - S/FR. - LOC. JUNQUEIRA ")</f>
      </c>
      <c r="C135" s="4" t="inlineStr">
        <is>
          <t>Vendido</t>
        </is>
      </c>
      <c r="D135" s="4" t="inlineStr">
        <is>
          <t>1</t>
        </is>
      </c>
      <c r="E135" s="5" t="inlineStr">
        <is>
          <t>1.000,00</t>
        </is>
      </c>
      <c r="F135" s="4" t="inlineStr">
        <is>
          <t>100.00</t>
        </is>
      </c>
    </row>
    <row collapsed="false" customFormat="false" customHeight="false" hidden="false" ht="12.1" outlineLevel="0" r="136">
      <c r="A136" s="5" t="s">
        <f>=HYPERLINK("https://www.leilaoonline.com.br/lote/detalhe/259866", "11649")</f>
      </c>
      <c r="B136" s="4" t="s">
        <f>=HYPERLINK("https://www.leilaoonline.com.br/lote/detalhe/259866", " BARCO PEQUENO MOGI MIRIM, MOD MM350, LOTAÇÃO 240 KG; ANO 2021. - S/FR. - LOC. JUNQUEIRA ")</f>
      </c>
      <c r="C136" s="4" t="inlineStr">
        <is>
          <t>Vendido</t>
        </is>
      </c>
      <c r="D136" s="4" t="inlineStr">
        <is>
          <t>1</t>
        </is>
      </c>
      <c r="E136" s="5" t="inlineStr">
        <is>
          <t>2.500,00</t>
        </is>
      </c>
      <c r="F136" s="4" t="inlineStr">
        <is>
          <t>250.00</t>
        </is>
      </c>
    </row>
    <row collapsed="false" customFormat="false" customHeight="false" hidden="false" ht="12.1" outlineLevel="0" r="137">
      <c r="A137" s="5" t="s">
        <f>=HYPERLINK("https://www.leilaoonline.com.br/lote/detalhe/259858", "11650")</f>
      </c>
      <c r="B137" s="4" t="s">
        <f>=HYPERLINK("https://www.leilaoonline.com.br/lote/detalhe/259858", " ÔNIBUS MERCEDES BENZ OF1318; ANO 1992/1992; BEGE (VENDA SOMENTE PARA COMPRADORES DO ESTADO DE SÃO PAULO) . - FR92001. - LOC. JUNQUEIRA")</f>
      </c>
      <c r="C137" s="4" t="inlineStr">
        <is>
          <t>Vendido</t>
        </is>
      </c>
      <c r="D137" s="4" t="inlineStr">
        <is>
          <t>38</t>
        </is>
      </c>
      <c r="E137" s="5" t="inlineStr">
        <is>
          <t>28.500,00</t>
        </is>
      </c>
      <c r="F137" s="4" t="inlineStr">
        <is>
          <t>500.00</t>
        </is>
      </c>
    </row>
    <row collapsed="false" customFormat="false" customHeight="false" hidden="false" ht="12.1" outlineLevel="0" r="138">
      <c r="A138" s="5" t="s">
        <f>=HYPERLINK("https://www.leilaoonline.com.br/lote/detalhe/259712", "11661")</f>
      </c>
      <c r="B138" s="4" t="s">
        <f>=HYPERLINK("https://www.leilaoonline.com.br/lote/detalhe/259712", "LOTE DE SUCATA ELÉTRICA CONTENDO; 1 GELADEIRA SUCATEADA, 4 FRIGOBAR SUCATEADO, 5 CONDENSADORAS, 2 EVAPORADORAS. - S/FR. - LOC. IPAUSSU")</f>
      </c>
      <c r="C138" s="4" t="inlineStr">
        <is>
          <t>Não vendido</t>
        </is>
      </c>
      <c r="D138" s="4" t="inlineStr">
        <is>
          <t>0</t>
        </is>
      </c>
      <c r="E138" s="5" t="inlineStr">
        <is>
          <t>500,00</t>
        </is>
      </c>
      <c r="F138" s="4" t="inlineStr">
        <is>
          <t>100.00</t>
        </is>
      </c>
    </row>
    <row collapsed="false" customFormat="false" customHeight="false" hidden="false" ht="12.1" outlineLevel="0" r="139">
      <c r="A139" s="5" t="s">
        <f>=HYPERLINK("https://www.leilaoonline.com.br/lote/detalhe/259927", "11662")</f>
      </c>
      <c r="B139" s="4" t="s">
        <f>=HYPERLINK("https://www.leilaoonline.com.br/lote/detalhe/259927", "COLHEDORA JOHN DEERE 3522 2L; ANO 2012 (EQUIPAMENTO S/MOTOR) . - FR112409. - LOC. MUNDIAL")</f>
      </c>
      <c r="C139" s="4" t="inlineStr">
        <is>
          <t>Não vendido</t>
        </is>
      </c>
      <c r="D139" s="4" t="inlineStr">
        <is>
          <t>2</t>
        </is>
      </c>
      <c r="E139" s="5" t="inlineStr">
        <is>
          <t>10.500,00</t>
        </is>
      </c>
      <c r="F139" s="4" t="inlineStr">
        <is>
          <t>500.00</t>
        </is>
      </c>
    </row>
    <row collapsed="false" customFormat="false" customHeight="false" hidden="false" ht="12.1" outlineLevel="0" r="140">
      <c r="A140" s="5" t="s">
        <f>=HYPERLINK("https://www.leilaoonline.com.br/lote/detalhe/259928", "11663")</f>
      </c>
      <c r="B140" s="4" t="s">
        <f>=HYPERLINK("https://www.leilaoonline.com.br/lote/detalhe/259928", "CAMINHÃO VOLKSWAGEN 26.220 EURO3 WORKER; ANO 2010/2010; BRANCA. - FR72511. - LOC. UNIVALEM ")</f>
      </c>
      <c r="C140" s="4" t="inlineStr">
        <is>
          <t>Não vendido</t>
        </is>
      </c>
      <c r="D140" s="4" t="inlineStr">
        <is>
          <t>98</t>
        </is>
      </c>
      <c r="E140" s="5" t="inlineStr">
        <is>
          <t>129.000,00</t>
        </is>
      </c>
      <c r="F140" s="4" t="inlineStr">
        <is>
          <t>1000.00</t>
        </is>
      </c>
    </row>
    <row collapsed="false" customFormat="false" customHeight="false" hidden="false" ht="12.1" outlineLevel="0" r="141">
      <c r="A141" s="5" t="s">
        <f>=HYPERLINK("https://www.leilaoonline.com.br/lote/detalhe/259752", "11699")</f>
      </c>
      <c r="B141" s="4" t="s">
        <f>=HYPERLINK("https://www.leilaoonline.com.br/lote/detalhe/259752", "CAMINHÃO VOLKSWAGEN 15.180 EURO3 WORKER; ANO 2010/2010; BRANCA (S/CARROCERIA). - FR40213 . - LOC. IPAUSSU")</f>
      </c>
      <c r="C141" s="4" t="inlineStr">
        <is>
          <t>Vendido</t>
        </is>
      </c>
      <c r="D141" s="4" t="inlineStr">
        <is>
          <t>36</t>
        </is>
      </c>
      <c r="E141" s="5" t="inlineStr">
        <is>
          <t>68.000,00</t>
        </is>
      </c>
      <c r="F141" s="4" t="inlineStr">
        <is>
          <t>1000.00</t>
        </is>
      </c>
    </row>
    <row collapsed="false" customFormat="false" customHeight="false" hidden="false" ht="12.1" outlineLevel="0" r="142">
      <c r="A142" s="5" t="s">
        <f>=HYPERLINK("https://www.leilaoonline.com.br/lote/detalhe/259323", "11700")</f>
      </c>
      <c r="B142" s="4" t="s">
        <f>=HYPERLINK("https://www.leilaoonline.com.br/lote/detalhe/259323", "LOTE COM APROX. 6 TELEVISORES, 3 MÁQUINAS DE LAVAR DE PRESSÃO, 1 ASPIRADOR DE PÓ, 1 MÁQUINA DE LAVAR ROUPA, 4 BEBEDOUROS, 3 ÁRMARIO DE FERRO, 2 MACAS E 14 SUCATAS DE AR CONDICIONADOS. - S/FR. - LOC. CAARAPÓ")</f>
      </c>
      <c r="C142" s="4" t="inlineStr">
        <is>
          <t>Vendido</t>
        </is>
      </c>
      <c r="D142" s="4" t="inlineStr">
        <is>
          <t>1</t>
        </is>
      </c>
      <c r="E142" s="5" t="inlineStr">
        <is>
          <t>2.000,00</t>
        </is>
      </c>
      <c r="F142" s="4" t="inlineStr">
        <is>
          <t>250.00</t>
        </is>
      </c>
    </row>
    <row collapsed="false" customFormat="false" customHeight="false" hidden="false" ht="12.1" outlineLevel="0" r="143">
      <c r="A143" s="5" t="s">
        <f>=HYPERLINK("https://www.leilaoonline.com.br/lote/detalhe/259682", "11703")</f>
      </c>
      <c r="B143" s="4" t="s">
        <f>=HYPERLINK("https://www.leilaoonline.com.br/lote/detalhe/259682", " 03 LAMINAS; ANO 2011. - FR4447041. - FR4445165. - FR4445166. - LOC. CAARAPÓ")</f>
      </c>
      <c r="C143" s="4" t="inlineStr">
        <is>
          <t>Vendido</t>
        </is>
      </c>
      <c r="D143" s="4" t="inlineStr">
        <is>
          <t>8</t>
        </is>
      </c>
      <c r="E143" s="5" t="inlineStr">
        <is>
          <t>4.400,00</t>
        </is>
      </c>
      <c r="F143" s="4" t="inlineStr">
        <is>
          <t>200.00</t>
        </is>
      </c>
    </row>
    <row collapsed="false" customFormat="false" customHeight="false" hidden="false" ht="12.1" outlineLevel="0" r="144">
      <c r="A144" s="5" t="s">
        <f>=HYPERLINK("https://www.leilaoonline.com.br/lote/detalhe/259246", "11704")</f>
      </c>
      <c r="B144" s="4" t="s">
        <f>=HYPERLINK("https://www.leilaoonline.com.br/lote/detalhe/259246", " CULTIVADOR; ANO 2017. - FR4445302. - LOC. CAARAPÓ ")</f>
      </c>
      <c r="C144" s="4" t="inlineStr">
        <is>
          <t>Não vendido</t>
        </is>
      </c>
      <c r="D144" s="4" t="inlineStr">
        <is>
          <t>1</t>
        </is>
      </c>
      <c r="E144" s="5" t="inlineStr">
        <is>
          <t>1.500,00</t>
        </is>
      </c>
      <c r="F144" s="4" t="inlineStr">
        <is>
          <t>250.00</t>
        </is>
      </c>
    </row>
    <row collapsed="false" customFormat="false" customHeight="false" hidden="false" ht="12.1" outlineLevel="0" r="145">
      <c r="A145" s="5" t="s">
        <f>=HYPERLINK("https://www.leilaoonline.com.br/lote/detalhe/259244", "11707")</f>
      </c>
      <c r="B145" s="4" t="s">
        <f>=HYPERLINK("https://www.leilaoonline.com.br/lote/detalhe/259244", " HIDROROLL IRRIGABRASIL; ANO 2008 . - FR5005103. - LOC. PASSATEMPO")</f>
      </c>
      <c r="C145" s="4" t="inlineStr">
        <is>
          <t>Vendido</t>
        </is>
      </c>
      <c r="D145" s="4" t="inlineStr">
        <is>
          <t>1</t>
        </is>
      </c>
      <c r="E145" s="5" t="inlineStr">
        <is>
          <t>2.500,00</t>
        </is>
      </c>
      <c r="F145" s="4" t="inlineStr">
        <is>
          <t>500.00</t>
        </is>
      </c>
    </row>
    <row collapsed="false" customFormat="false" customHeight="false" hidden="false" ht="12.1" outlineLevel="0" r="146">
      <c r="A146" s="5" t="s">
        <f>=HYPERLINK("https://www.leilaoonline.com.br/lote/detalhe/259245", "11713")</f>
      </c>
      <c r="B146" s="4" t="s">
        <f>=HYPERLINK("https://www.leilaoonline.com.br/lote/detalhe/259245", " HIDROROLL IRRIGABRASIL; ANO 2007. - FR9003012. - LOC. RIO BRILHANTE ")</f>
      </c>
      <c r="C146" s="4" t="inlineStr">
        <is>
          <t>Vendido</t>
        </is>
      </c>
      <c r="D146" s="4" t="inlineStr">
        <is>
          <t>1</t>
        </is>
      </c>
      <c r="E146" s="5" t="inlineStr">
        <is>
          <t>2.500,00</t>
        </is>
      </c>
      <c r="F146" s="4" t="inlineStr">
        <is>
          <t>500.00</t>
        </is>
      </c>
    </row>
    <row collapsed="false" customFormat="false" customHeight="false" hidden="false" ht="12.1" outlineLevel="0" r="147">
      <c r="A147" s="5" t="s">
        <f>=HYPERLINK("https://www.leilaoonline.com.br/lote/detalhe/259461", "11720")</f>
      </c>
      <c r="B147" s="4" t="s">
        <f>=HYPERLINK("https://www.leilaoonline.com.br/lote/detalhe/259461", "TRATOR DE PNEU VALTRA 205I 4X4 HIFLOW; ANO 2011. - FR163464. - LOC. JATAI/GO")</f>
      </c>
      <c r="C147" s="4" t="inlineStr">
        <is>
          <t>Vendido</t>
        </is>
      </c>
      <c r="D147" s="4" t="inlineStr">
        <is>
          <t>52</t>
        </is>
      </c>
      <c r="E147" s="5" t="inlineStr">
        <is>
          <t>71.000,00</t>
        </is>
      </c>
      <c r="F147" s="4" t="inlineStr">
        <is>
          <t>1000.00</t>
        </is>
      </c>
    </row>
    <row collapsed="false" customFormat="false" customHeight="false" hidden="false" ht="12.1" outlineLevel="0" r="148">
      <c r="A148" s="5" t="s">
        <f>=HYPERLINK("https://www.leilaoonline.com.br/lote/detalhe/259897", "11725")</f>
      </c>
      <c r="B148" s="4" t="s">
        <f>=HYPERLINK("https://www.leilaoonline.com.br/lote/detalhe/259897", "Veja Vídeo - CAMINHÃO VOLVO FM 500 6X4 T; ANO 2013/2013; BRANCA. - FR4415039. - LOC. CAARAPÓ ")</f>
      </c>
      <c r="C148" s="4" t="inlineStr">
        <is>
          <t>Não vendido</t>
        </is>
      </c>
      <c r="D148" s="4" t="inlineStr">
        <is>
          <t>33</t>
        </is>
      </c>
      <c r="E148" s="5" t="inlineStr">
        <is>
          <t>114.000,00</t>
        </is>
      </c>
      <c r="F148" s="4" t="inlineStr">
        <is>
          <t>2000.00</t>
        </is>
      </c>
    </row>
    <row collapsed="false" customFormat="false" customHeight="false" hidden="false" ht="12.1" outlineLevel="0" r="149">
      <c r="A149" s="5" t="s">
        <f>=HYPERLINK("https://www.leilaoonline.com.br/lote/detalhe/259898", "11727")</f>
      </c>
      <c r="B149" s="4" t="s">
        <f>=HYPERLINK("https://www.leilaoonline.com.br/lote/detalhe/259898", "Veja Vídeo - CAMINHÃO VOLVO FM 500 6X4 T; ANO 2013/2013; BRANCA. - FR4415031. - LOC. CAARAPÓ")</f>
      </c>
      <c r="C149" s="4" t="inlineStr">
        <is>
          <t>Não vendido</t>
        </is>
      </c>
      <c r="D149" s="4" t="inlineStr">
        <is>
          <t>29</t>
        </is>
      </c>
      <c r="E149" s="5" t="inlineStr">
        <is>
          <t>106.000,00</t>
        </is>
      </c>
      <c r="F149" s="4" t="inlineStr">
        <is>
          <t>2000.00</t>
        </is>
      </c>
    </row>
    <row collapsed="false" customFormat="false" customHeight="false" hidden="false" ht="12.1" outlineLevel="0" r="150">
      <c r="A150" s="5" t="s">
        <f>=HYPERLINK("https://www.leilaoonline.com.br/lote/detalhe/259900", "11729")</f>
      </c>
      <c r="B150" s="4" t="s">
        <f>=HYPERLINK("https://www.leilaoonline.com.br/lote/detalhe/259900", "Veja Vídeo - CAMINHÃO VOLVO FM 500 6X4 T; ANO 2013/2013; BRANCA. - FR4415042. - LOC. CAARAPÓ")</f>
      </c>
      <c r="C150" s="4" t="inlineStr">
        <is>
          <t>Vendido</t>
        </is>
      </c>
      <c r="D150" s="4" t="inlineStr">
        <is>
          <t>30</t>
        </is>
      </c>
      <c r="E150" s="5" t="inlineStr">
        <is>
          <t>108.000,00</t>
        </is>
      </c>
      <c r="F150" s="4" t="inlineStr">
        <is>
          <t>2000.00</t>
        </is>
      </c>
    </row>
    <row collapsed="false" customFormat="false" customHeight="false" hidden="false" ht="12.1" outlineLevel="0" r="151">
      <c r="A151" s="5" t="s">
        <f>=HYPERLINK("https://www.leilaoonline.com.br/lote/detalhe/259469", "11730")</f>
      </c>
      <c r="B151" s="4" t="s">
        <f>=HYPERLINK("https://www.leilaoonline.com.br/lote/detalhe/259469", "TRATOR DE PNEU VALTRA 205I 4X4 HIFLOW; ANO 2011. - FR163457. - LOC. JATAI/GO")</f>
      </c>
      <c r="C151" s="4" t="inlineStr">
        <is>
          <t>Vendido</t>
        </is>
      </c>
      <c r="D151" s="4" t="inlineStr">
        <is>
          <t>57</t>
        </is>
      </c>
      <c r="E151" s="5" t="inlineStr">
        <is>
          <t>76.000,00</t>
        </is>
      </c>
      <c r="F151" s="4" t="inlineStr">
        <is>
          <t>1000.00</t>
        </is>
      </c>
    </row>
    <row collapsed="false" customFormat="false" customHeight="false" hidden="false" ht="12.1" outlineLevel="0" r="152">
      <c r="A152" s="5" t="s">
        <f>=HYPERLINK("https://www.leilaoonline.com.br/lote/detalhe/259901", "11731")</f>
      </c>
      <c r="B152" s="4" t="s">
        <f>=HYPERLINK("https://www.leilaoonline.com.br/lote/detalhe/259901", "Veja Vídeo - CAMINHÃO VOLVO FM 500 6X4 T; ANO 2013/2013; BRANCA . - FR4415037. - LOC. CAARAPÓ")</f>
      </c>
      <c r="C152" s="4" t="inlineStr">
        <is>
          <t>Vendido</t>
        </is>
      </c>
      <c r="D152" s="4" t="inlineStr">
        <is>
          <t>33</t>
        </is>
      </c>
      <c r="E152" s="5" t="inlineStr">
        <is>
          <t>114.000,00</t>
        </is>
      </c>
      <c r="F152" s="4" t="inlineStr">
        <is>
          <t>2000.00</t>
        </is>
      </c>
    </row>
    <row collapsed="false" customFormat="false" customHeight="false" hidden="false" ht="12.1" outlineLevel="0" r="153">
      <c r="A153" s="5" t="s">
        <f>=HYPERLINK("https://www.leilaoonline.com.br/lote/detalhe/259902", "11733")</f>
      </c>
      <c r="B153" s="4" t="s">
        <f>=HYPERLINK("https://www.leilaoonline.com.br/lote/detalhe/259902", "TRATOR DE PNEU JOHN DEERE 6100J; ANO 2017. - FR4435188. - LOC. CAARAPÓ")</f>
      </c>
      <c r="C153" s="4" t="inlineStr">
        <is>
          <t>Vendido</t>
        </is>
      </c>
      <c r="D153" s="4" t="inlineStr">
        <is>
          <t>69</t>
        </is>
      </c>
      <c r="E153" s="5" t="inlineStr">
        <is>
          <t>104.000,00</t>
        </is>
      </c>
      <c r="F153" s="4" t="inlineStr">
        <is>
          <t>1000.00</t>
        </is>
      </c>
    </row>
    <row collapsed="false" customFormat="false" customHeight="false" hidden="false" ht="12.1" outlineLevel="0" r="154">
      <c r="A154" s="5" t="s">
        <f>=HYPERLINK("https://www.leilaoonline.com.br/lote/detalhe/259903", "11735")</f>
      </c>
      <c r="B154" s="4" t="s">
        <f>=HYPERLINK("https://www.leilaoonline.com.br/lote/detalhe/259903", "TRATOR DE PNEU JOHN DEERE 7210 J 4X4; ANO 2016. - FR4435152 . - LOC. CAARAPÓ")</f>
      </c>
      <c r="C154" s="4" t="inlineStr">
        <is>
          <t>Não vendido</t>
        </is>
      </c>
      <c r="D154" s="4" t="inlineStr">
        <is>
          <t>51</t>
        </is>
      </c>
      <c r="E154" s="5" t="inlineStr">
        <is>
          <t>70.000,00</t>
        </is>
      </c>
      <c r="F154" s="4" t="inlineStr">
        <is>
          <t>1000.00</t>
        </is>
      </c>
    </row>
    <row collapsed="false" customFormat="false" customHeight="false" hidden="false" ht="12.1" outlineLevel="0" r="155">
      <c r="A155" s="5" t="s">
        <f>=HYPERLINK("https://www.leilaoonline.com.br/lote/detalhe/259904", "11737")</f>
      </c>
      <c r="B155" s="4" t="s">
        <f>=HYPERLINK("https://www.leilaoonline.com.br/lote/detalhe/259904", "SIMULADOR  JOHN DEERE. - S/FR. - LOC. CAARAPÓ")</f>
      </c>
      <c r="C155" s="4" t="inlineStr">
        <is>
          <t>Não vendido</t>
        </is>
      </c>
      <c r="D155" s="4" t="inlineStr">
        <is>
          <t>0</t>
        </is>
      </c>
      <c r="E155" s="5" t="inlineStr">
        <is>
          <t>2.500,00</t>
        </is>
      </c>
      <c r="F155" s="4" t="inlineStr">
        <is>
          <t>500.00</t>
        </is>
      </c>
    </row>
    <row collapsed="false" customFormat="false" customHeight="false" hidden="false" ht="12.1" outlineLevel="0" r="156">
      <c r="A156" s="5" t="s">
        <f>=HYPERLINK("https://www.leilaoonline.com.br/lote/detalhe/259908", "11739")</f>
      </c>
      <c r="B156" s="4" t="s">
        <f>=HYPERLINK("https://www.leilaoonline.com.br/lote/detalhe/259908", "HIDROROLL IRRIGABRASIL; ANO 2008. - FR9003028. - LOC. RIO BRILHANTE ")</f>
      </c>
      <c r="C156" s="4" t="inlineStr">
        <is>
          <t>Vendido</t>
        </is>
      </c>
      <c r="D156" s="4" t="inlineStr">
        <is>
          <t>2</t>
        </is>
      </c>
      <c r="E156" s="5" t="inlineStr">
        <is>
          <t>3.000,00</t>
        </is>
      </c>
      <c r="F156" s="4" t="inlineStr">
        <is>
          <t>500.00</t>
        </is>
      </c>
    </row>
    <row collapsed="false" customFormat="false" customHeight="false" hidden="false" ht="12.1" outlineLevel="0" r="157">
      <c r="A157" s="5" t="s">
        <f>=HYPERLINK("https://www.leilaoonline.com.br/lote/detalhe/259909", "11741")</f>
      </c>
      <c r="B157" s="4" t="s">
        <f>=HYPERLINK("https://www.leilaoonline.com.br/lote/detalhe/259909", "HIDROROLL IRRIGABRASIL; ANO 2002. - FR9003015. - LOC. RIO BRILHANTE ")</f>
      </c>
      <c r="C157" s="4" t="inlineStr">
        <is>
          <t>Vendido</t>
        </is>
      </c>
      <c r="D157" s="4" t="inlineStr">
        <is>
          <t>2</t>
        </is>
      </c>
      <c r="E157" s="5" t="inlineStr">
        <is>
          <t>3.000,00</t>
        </is>
      </c>
      <c r="F157" s="4" t="inlineStr">
        <is>
          <t>500.00</t>
        </is>
      </c>
    </row>
    <row collapsed="false" customFormat="false" customHeight="false" hidden="false" ht="12.1" outlineLevel="0" r="158">
      <c r="A158" s="5" t="s">
        <f>=HYPERLINK("https://www.leilaoonline.com.br/lote/detalhe/259248", "11742")</f>
      </c>
      <c r="B158" s="4" t="s">
        <f>=HYPERLINK("https://www.leilaoonline.com.br/lote/detalhe/259248", "02 SUCATAS DE COLHEDORA JOHN DEERE CH570 1 L;  ANO 2016 E ANO 2018  - 8 TON. APROX. - FR163642/FR163652. -  ( QUEIMADA ) . - LOC. JATAI/GO")</f>
      </c>
      <c r="C158" s="4" t="inlineStr">
        <is>
          <t>Não vendido</t>
        </is>
      </c>
      <c r="D158" s="4" t="inlineStr">
        <is>
          <t>6</t>
        </is>
      </c>
      <c r="E158" s="5" t="inlineStr">
        <is>
          <t>15.000,00</t>
        </is>
      </c>
      <c r="F158" s="4" t="inlineStr">
        <is>
          <t>1000.00</t>
        </is>
      </c>
    </row>
    <row collapsed="false" customFormat="false" customHeight="false" hidden="false" ht="12.1" outlineLevel="0" r="159">
      <c r="A159" s="5" t="s">
        <f>=HYPERLINK("https://www.leilaoonline.com.br/lote/detalhe/259907", "11743")</f>
      </c>
      <c r="B159" s="4" t="s">
        <f>=HYPERLINK("https://www.leilaoonline.com.br/lote/detalhe/259907", "MOTO BOMBA MWM 6.12 TCA; ANO 2016. - FR4005664. - LOC. PASSATEMPO")</f>
      </c>
      <c r="C159" s="4" t="inlineStr">
        <is>
          <t>Não vendido</t>
        </is>
      </c>
      <c r="D159" s="4" t="inlineStr">
        <is>
          <t>28</t>
        </is>
      </c>
      <c r="E159" s="5" t="inlineStr">
        <is>
          <t>21.000,00</t>
        </is>
      </c>
      <c r="F159" s="4" t="inlineStr">
        <is>
          <t>1000.00</t>
        </is>
      </c>
    </row>
    <row collapsed="false" customFormat="false" customHeight="false" hidden="false" ht="12.1" outlineLevel="0" r="160">
      <c r="A160" s="5" t="s">
        <f>=HYPERLINK("https://www.leilaoonline.com.br/lote/detalhe/259949", "11745")</f>
      </c>
      <c r="B160" s="4" t="s">
        <f>=HYPERLINK("https://www.leilaoonline.com.br/lote/detalhe/259949", "LOTE COM APROX. 97 MOTORES POTENCIAS DIVERSAS. - S/FR. - LOC. RIO BRILHANTE ")</f>
      </c>
      <c r="C160" s="4" t="inlineStr">
        <is>
          <t>Vendido</t>
        </is>
      </c>
      <c r="D160" s="4" t="inlineStr">
        <is>
          <t>93</t>
        </is>
      </c>
      <c r="E160" s="5" t="inlineStr">
        <is>
          <t>87.000,00</t>
        </is>
      </c>
      <c r="F160" s="4" t="inlineStr">
        <is>
          <t>1000.00</t>
        </is>
      </c>
    </row>
    <row collapsed="false" customFormat="false" customHeight="false" hidden="false" ht="12.1" outlineLevel="0" r="161">
      <c r="A161" s="5" t="s">
        <f>=HYPERLINK("https://www.leilaoonline.com.br/lote/detalhe/259906", "11747")</f>
      </c>
      <c r="B161" s="4" t="s">
        <f>=HYPERLINK("https://www.leilaoonline.com.br/lote/detalhe/259906", "TRANSBORDO CIVEMASSA 10500; ANO 2011 . - FR47011. - LOC. PASSATEMPO ")</f>
      </c>
      <c r="C161" s="4" t="inlineStr">
        <is>
          <t>Não vendido</t>
        </is>
      </c>
      <c r="D161" s="4" t="inlineStr">
        <is>
          <t>0</t>
        </is>
      </c>
      <c r="E161" s="5" t="inlineStr">
        <is>
          <t>10.000,00</t>
        </is>
      </c>
      <c r="F161" s="4" t="inlineStr">
        <is>
          <t>500.00</t>
        </is>
      </c>
    </row>
    <row collapsed="false" customFormat="false" customHeight="false" hidden="false" ht="12.1" outlineLevel="0" r="162">
      <c r="A162" s="5" t="s">
        <f>=HYPERLINK("https://www.leilaoonline.com.br/lote/detalhe/259470", "11748")</f>
      </c>
      <c r="B162" s="4" t="s">
        <f>=HYPERLINK("https://www.leilaoonline.com.br/lote/detalhe/259470", "LÂMPADAS E REFLETORES, AR CONDICIONADO; FRIGOBAR. - S/FR. - LOC. JATAI/GO")</f>
      </c>
      <c r="C162" s="4" t="inlineStr">
        <is>
          <t>Vendido</t>
        </is>
      </c>
      <c r="D162" s="4" t="inlineStr">
        <is>
          <t>2</t>
        </is>
      </c>
      <c r="E162" s="5" t="inlineStr">
        <is>
          <t>600,00</t>
        </is>
      </c>
      <c r="F162" s="4" t="inlineStr">
        <is>
          <t>100.00</t>
        </is>
      </c>
    </row>
    <row collapsed="false" customFormat="false" customHeight="false" hidden="false" ht="12.1" outlineLevel="0" r="163">
      <c r="A163" s="5" t="s">
        <f>=HYPERLINK("https://www.leilaoonline.com.br/lote/detalhe/259905", "11749")</f>
      </c>
      <c r="B163" s="4" t="s">
        <f>=HYPERLINK("https://www.leilaoonline.com.br/lote/detalhe/259905", "AREA DE VIVÊNCIA FABRICAÇÃO PRÓPRIA. - S/FR. - LOC. PASSATEMPO")</f>
      </c>
      <c r="C163" s="4" t="inlineStr">
        <is>
          <t>Vendido</t>
        </is>
      </c>
      <c r="D163" s="4" t="inlineStr">
        <is>
          <t>1</t>
        </is>
      </c>
      <c r="E163" s="5" t="inlineStr">
        <is>
          <t>1.500,00</t>
        </is>
      </c>
      <c r="F163" s="4" t="inlineStr">
        <is>
          <t>500.00</t>
        </is>
      </c>
    </row>
    <row collapsed="false" customFormat="false" customHeight="false" hidden="false" ht="12.1" outlineLevel="0" r="164">
      <c r="A164" s="5" t="s">
        <f>=HYPERLINK("https://www.leilaoonline.com.br/lote/detalhe/259769", "11800")</f>
      </c>
      <c r="B164" s="4" t="s">
        <f>=HYPERLINK("https://www.leilaoonline.com.br/lote/detalhe/259769", " SUCATA TELA P/ CAMINHÃO. - S/FR. - LOC.BONFIM ")</f>
      </c>
      <c r="C164" s="4" t="inlineStr">
        <is>
          <t>Não vendido</t>
        </is>
      </c>
      <c r="D164" s="4" t="inlineStr">
        <is>
          <t>0</t>
        </is>
      </c>
      <c r="E164" s="5" t="inlineStr">
        <is>
          <t>2.000,00</t>
        </is>
      </c>
      <c r="F164" s="4" t="inlineStr">
        <is>
          <t>250.00</t>
        </is>
      </c>
    </row>
    <row collapsed="false" customFormat="false" customHeight="false" hidden="false" ht="12.1" outlineLevel="0" r="165">
      <c r="A165" s="5" t="s">
        <f>=HYPERLINK("https://www.leilaoonline.com.br/lote/detalhe/259762", "11801")</f>
      </c>
      <c r="B165" s="4" t="s">
        <f>=HYPERLINK("https://www.leilaoonline.com.br/lote/detalhe/259762", " TRANSBORDO ATA 12 TON; ANO 2010. - FR123786. - LOC.BONFIM ")</f>
      </c>
      <c r="C165" s="4" t="inlineStr">
        <is>
          <t>Vendido</t>
        </is>
      </c>
      <c r="D165" s="4" t="inlineStr">
        <is>
          <t>4</t>
        </is>
      </c>
      <c r="E165" s="5" t="inlineStr">
        <is>
          <t>13.000,00</t>
        </is>
      </c>
      <c r="F165" s="4" t="inlineStr">
        <is>
          <t>1000.00</t>
        </is>
      </c>
    </row>
    <row collapsed="false" customFormat="false" customHeight="false" hidden="false" ht="12.1" outlineLevel="0" r="166">
      <c r="A166" s="5" t="s">
        <f>=HYPERLINK("https://www.leilaoonline.com.br/lote/detalhe/259777", "11802")</f>
      </c>
      <c r="B166" s="4" t="s">
        <f>=HYPERLINK("https://www.leilaoonline.com.br/lote/detalhe/259777", " TRANSBORDO ATA 12 TON; ANO 2010. - FR55069. - LOC.BONFIM ")</f>
      </c>
      <c r="C166" s="4" t="inlineStr">
        <is>
          <t>Vendido</t>
        </is>
      </c>
      <c r="D166" s="4" t="inlineStr">
        <is>
          <t>3</t>
        </is>
      </c>
      <c r="E166" s="5" t="inlineStr">
        <is>
          <t>13.000,00</t>
        </is>
      </c>
      <c r="F166" s="4" t="inlineStr">
        <is>
          <t>1000.00</t>
        </is>
      </c>
    </row>
    <row collapsed="false" customFormat="false" customHeight="false" hidden="false" ht="12.1" outlineLevel="0" r="167">
      <c r="A167" s="5" t="s">
        <f>=HYPERLINK("https://www.leilaoonline.com.br/lote/detalhe/259760", "11805")</f>
      </c>
      <c r="B167" s="4" t="s">
        <f>=HYPERLINK("https://www.leilaoonline.com.br/lote/detalhe/259760", " TRANSBORDO ATA 12 TON; ANO 2011. - FR93840. - LOC.BONFIM ")</f>
      </c>
      <c r="C167" s="4" t="inlineStr">
        <is>
          <t>Vendido</t>
        </is>
      </c>
      <c r="D167" s="4" t="inlineStr">
        <is>
          <t>2</t>
        </is>
      </c>
      <c r="E167" s="5" t="inlineStr">
        <is>
          <t>13.000,00</t>
        </is>
      </c>
      <c r="F167" s="4" t="inlineStr">
        <is>
          <t>1000.00</t>
        </is>
      </c>
    </row>
    <row collapsed="false" customFormat="false" customHeight="false" hidden="false" ht="12.1" outlineLevel="0" r="168">
      <c r="A168" s="5" t="s">
        <f>=HYPERLINK("https://www.leilaoonline.com.br/lote/detalhe/259783", "11806")</f>
      </c>
      <c r="B168" s="4" t="s">
        <f>=HYPERLINK("https://www.leilaoonline.com.br/lote/detalhe/259783", " TRANSBORDO ATA 12 TON; ANO 2011. - FR93832. - LOC.BONFIM ")</f>
      </c>
      <c r="C168" s="4" t="inlineStr">
        <is>
          <t>Vendido</t>
        </is>
      </c>
      <c r="D168" s="4" t="inlineStr">
        <is>
          <t>2</t>
        </is>
      </c>
      <c r="E168" s="5" t="inlineStr">
        <is>
          <t>13.000,00</t>
        </is>
      </c>
      <c r="F168" s="4" t="inlineStr">
        <is>
          <t>1000.00</t>
        </is>
      </c>
    </row>
    <row collapsed="false" customFormat="false" customHeight="false" hidden="false" ht="12.1" outlineLevel="0" r="169">
      <c r="A169" s="5" t="s">
        <f>=HYPERLINK("https://www.leilaoonline.com.br/lote/detalhe/259776", "11807")</f>
      </c>
      <c r="B169" s="4" t="s">
        <f>=HYPERLINK("https://www.leilaoonline.com.br/lote/detalhe/259776", " TRANSBORDO ATA 12 TON; ANO 2012. - FR68043. - LOC.BONFIM ")</f>
      </c>
      <c r="C169" s="4" t="inlineStr">
        <is>
          <t>Vendido</t>
        </is>
      </c>
      <c r="D169" s="4" t="inlineStr">
        <is>
          <t>6</t>
        </is>
      </c>
      <c r="E169" s="5" t="inlineStr">
        <is>
          <t>15.500,00</t>
        </is>
      </c>
      <c r="F169" s="4" t="inlineStr">
        <is>
          <t>1000.00</t>
        </is>
      </c>
    </row>
    <row collapsed="false" customFormat="false" customHeight="false" hidden="false" ht="12.1" outlineLevel="0" r="170">
      <c r="A170" s="5" t="s">
        <f>=HYPERLINK("https://www.leilaoonline.com.br/lote/detalhe/259782", "11809")</f>
      </c>
      <c r="B170" s="4" t="s">
        <f>=HYPERLINK("https://www.leilaoonline.com.br/lote/detalhe/259782", " TRANSBORDO ATA 12 TON; ANO 2015. - FR123886. - LOC.BONFIM ")</f>
      </c>
      <c r="C170" s="4" t="inlineStr">
        <is>
          <t>Vendido</t>
        </is>
      </c>
      <c r="D170" s="4" t="inlineStr">
        <is>
          <t>6</t>
        </is>
      </c>
      <c r="E170" s="5" t="inlineStr">
        <is>
          <t>18.000,00</t>
        </is>
      </c>
      <c r="F170" s="4" t="inlineStr">
        <is>
          <t>1000.00</t>
        </is>
      </c>
    </row>
    <row collapsed="false" customFormat="false" customHeight="false" hidden="false" ht="12.1" outlineLevel="0" r="171">
      <c r="A171" s="5" t="s">
        <f>=HYPERLINK("https://www.leilaoonline.com.br/lote/detalhe/259793", "11810")</f>
      </c>
      <c r="B171" s="4" t="s">
        <f>=HYPERLINK("https://www.leilaoonline.com.br/lote/detalhe/259793", " TRANSBORDO ATA 12 TON; ANO 2010. - FR93828. - LOC.BONFIM ")</f>
      </c>
      <c r="C171" s="4" t="inlineStr">
        <is>
          <t>Vendido</t>
        </is>
      </c>
      <c r="D171" s="4" t="inlineStr">
        <is>
          <t>6</t>
        </is>
      </c>
      <c r="E171" s="5" t="inlineStr">
        <is>
          <t>15.000,00</t>
        </is>
      </c>
      <c r="F171" s="4" t="inlineStr">
        <is>
          <t>1000.00</t>
        </is>
      </c>
    </row>
    <row collapsed="false" customFormat="false" customHeight="false" hidden="false" ht="12.1" outlineLevel="0" r="172">
      <c r="A172" s="5" t="s">
        <f>=HYPERLINK("https://www.leilaoonline.com.br/lote/detalhe/259788", "11811")</f>
      </c>
      <c r="B172" s="4" t="s">
        <f>=HYPERLINK("https://www.leilaoonline.com.br/lote/detalhe/259788", " TRANSBORDO ATA 12 TON; ANO 2015. - FR123878. - LOC.BONFIM ")</f>
      </c>
      <c r="C172" s="4" t="inlineStr">
        <is>
          <t>Vendido</t>
        </is>
      </c>
      <c r="D172" s="4" t="inlineStr">
        <is>
          <t>6</t>
        </is>
      </c>
      <c r="E172" s="5" t="inlineStr">
        <is>
          <t>18.000,00</t>
        </is>
      </c>
      <c r="F172" s="4" t="inlineStr">
        <is>
          <t>1000.00</t>
        </is>
      </c>
    </row>
    <row collapsed="false" customFormat="false" customHeight="false" hidden="false" ht="12.1" outlineLevel="0" r="173">
      <c r="A173" s="5" t="s">
        <f>=HYPERLINK("https://www.leilaoonline.com.br/lote/detalhe/259785", "11812")</f>
      </c>
      <c r="B173" s="4" t="s">
        <f>=HYPERLINK("https://www.leilaoonline.com.br/lote/detalhe/259785", " TRANSBORDO ATA 12 TON; ANO 2010 . - FR123741. - LOC.BONFIM")</f>
      </c>
      <c r="C173" s="4" t="inlineStr">
        <is>
          <t>Vendido</t>
        </is>
      </c>
      <c r="D173" s="4" t="inlineStr">
        <is>
          <t>4</t>
        </is>
      </c>
      <c r="E173" s="5" t="inlineStr">
        <is>
          <t>12.000,00</t>
        </is>
      </c>
      <c r="F173" s="4" t="inlineStr">
        <is>
          <t>1000.00</t>
        </is>
      </c>
    </row>
    <row collapsed="false" customFormat="false" customHeight="false" hidden="false" ht="12.1" outlineLevel="0" r="174">
      <c r="A174" s="5" t="s">
        <f>=HYPERLINK("https://www.leilaoonline.com.br/lote/detalhe/259780", "11813")</f>
      </c>
      <c r="B174" s="4" t="s">
        <f>=HYPERLINK("https://www.leilaoonline.com.br/lote/detalhe/259780", " TRANSBORDO ATA 12 TON; ANO 2010. - FR123795. - LOC.BONFIM ")</f>
      </c>
      <c r="C174" s="4" t="inlineStr">
        <is>
          <t>Não vendido</t>
        </is>
      </c>
      <c r="D174" s="4" t="inlineStr">
        <is>
          <t>1</t>
        </is>
      </c>
      <c r="E174" s="5" t="inlineStr">
        <is>
          <t>10.000,00</t>
        </is>
      </c>
      <c r="F174" s="4" t="inlineStr">
        <is>
          <t>1000.00</t>
        </is>
      </c>
    </row>
    <row collapsed="false" customFormat="false" customHeight="false" hidden="false" ht="12.1" outlineLevel="0" r="175">
      <c r="A175" s="5" t="s">
        <f>=HYPERLINK("https://www.leilaoonline.com.br/lote/detalhe/259772", "11814")</f>
      </c>
      <c r="B175" s="4" t="s">
        <f>=HYPERLINK("https://www.leilaoonline.com.br/lote/detalhe/259772", " DOLLY; ANO 2008. -  (VENDA S/ DIREITO A DOCUMENTO). - FR121930.. - LOC.BONFIM ")</f>
      </c>
      <c r="C175" s="4" t="inlineStr">
        <is>
          <t>Vendido</t>
        </is>
      </c>
      <c r="D175" s="4" t="inlineStr">
        <is>
          <t>5</t>
        </is>
      </c>
      <c r="E175" s="5" t="inlineStr">
        <is>
          <t>6.000,00</t>
        </is>
      </c>
      <c r="F175" s="4" t="inlineStr">
        <is>
          <t>250.00</t>
        </is>
      </c>
    </row>
    <row collapsed="false" customFormat="false" customHeight="false" hidden="false" ht="12.1" outlineLevel="0" r="176">
      <c r="A176" s="5" t="s">
        <f>=HYPERLINK("https://www.leilaoonline.com.br/lote/detalhe/259767", "11816")</f>
      </c>
      <c r="B176" s="4" t="s">
        <f>=HYPERLINK("https://www.leilaoonline.com.br/lote/detalhe/259767", " TRANSBORDO ATA 12 TON; ANO 2010. - FR22733. - LOC. BONFIM ")</f>
      </c>
      <c r="C176" s="4" t="inlineStr">
        <is>
          <t>Vendido</t>
        </is>
      </c>
      <c r="D176" s="4" t="inlineStr">
        <is>
          <t>3</t>
        </is>
      </c>
      <c r="E176" s="5" t="inlineStr">
        <is>
          <t>13.000,00</t>
        </is>
      </c>
      <c r="F176" s="4" t="inlineStr">
        <is>
          <t>1000.00</t>
        </is>
      </c>
    </row>
    <row collapsed="false" customFormat="false" customHeight="false" hidden="false" ht="12.1" outlineLevel="0" r="177">
      <c r="A177" s="5" t="s">
        <f>=HYPERLINK("https://www.leilaoonline.com.br/lote/detalhe/259775", "11817")</f>
      </c>
      <c r="B177" s="4" t="s">
        <f>=HYPERLINK("https://www.leilaoonline.com.br/lote/detalhe/259775", " SEMI REBOQUE GUERRA AG TQ; ANO 2009/2009; AZUL; (TANQUE DE FIBRA). - FR121302. - LOC.BONFIM ")</f>
      </c>
      <c r="C177" s="4" t="inlineStr">
        <is>
          <t>Vendido</t>
        </is>
      </c>
      <c r="D177" s="4" t="inlineStr">
        <is>
          <t>6</t>
        </is>
      </c>
      <c r="E177" s="5" t="inlineStr">
        <is>
          <t>20.000,00</t>
        </is>
      </c>
      <c r="F177" s="4" t="inlineStr">
        <is>
          <t>1000.00</t>
        </is>
      </c>
    </row>
    <row collapsed="false" customFormat="false" customHeight="false" hidden="false" ht="12.1" outlineLevel="0" r="178">
      <c r="A178" s="5" t="s">
        <f>=HYPERLINK("https://www.leilaoonline.com.br/lote/detalhe/259779", "11818")</f>
      </c>
      <c r="B178" s="4" t="s">
        <f>=HYPERLINK("https://www.leilaoonline.com.br/lote/detalhe/259779", " REBOQUE FACCHINI SRF CB; ANO 2002/2002; BRANCA; (BASCULANTE). - FR91116. - LOC.BONFIM")</f>
      </c>
      <c r="C178" s="4" t="inlineStr">
        <is>
          <t>Vendido</t>
        </is>
      </c>
      <c r="D178" s="4" t="inlineStr">
        <is>
          <t>28</t>
        </is>
      </c>
      <c r="E178" s="5" t="inlineStr">
        <is>
          <t>38.000,00</t>
        </is>
      </c>
      <c r="F178" s="4" t="inlineStr">
        <is>
          <t>1000.00</t>
        </is>
      </c>
    </row>
    <row collapsed="false" customFormat="false" customHeight="false" hidden="false" ht="12.1" outlineLevel="0" r="179">
      <c r="A179" s="5" t="s">
        <f>=HYPERLINK("https://www.leilaoonline.com.br/lote/detalhe/259787", "11819")</f>
      </c>
      <c r="B179" s="4" t="s">
        <f>=HYPERLINK("https://www.leilaoonline.com.br/lote/detalhe/259787", " TRANSBORDO ATA 12 TON; ANO 2011. - FR93839. - LOC.BONFIM ")</f>
      </c>
      <c r="C179" s="4" t="inlineStr">
        <is>
          <t>Vendido</t>
        </is>
      </c>
      <c r="D179" s="4" t="inlineStr">
        <is>
          <t>4</t>
        </is>
      </c>
      <c r="E179" s="5" t="inlineStr">
        <is>
          <t>13.000,00</t>
        </is>
      </c>
      <c r="F179" s="4" t="inlineStr">
        <is>
          <t>1000.00</t>
        </is>
      </c>
    </row>
    <row collapsed="false" customFormat="false" customHeight="false" hidden="false" ht="12.1" outlineLevel="0" r="180">
      <c r="A180" s="5" t="s">
        <f>=HYPERLINK("https://www.leilaoonline.com.br/lote/detalhe/259774", "11824")</f>
      </c>
      <c r="B180" s="4" t="s">
        <f>=HYPERLINK("https://www.leilaoonline.com.br/lote/detalhe/259774", " TRANSBORDO ATA 12 TON; ANO 2010. - FRFR55064. - LOC.BONFIM ")</f>
      </c>
      <c r="C180" s="4" t="inlineStr">
        <is>
          <t>Vendido</t>
        </is>
      </c>
      <c r="D180" s="4" t="inlineStr">
        <is>
          <t>7</t>
        </is>
      </c>
      <c r="E180" s="5" t="inlineStr">
        <is>
          <t>16.000,00</t>
        </is>
      </c>
      <c r="F180" s="4" t="inlineStr">
        <is>
          <t>1000.00</t>
        </is>
      </c>
    </row>
    <row collapsed="false" customFormat="false" customHeight="false" hidden="false" ht="12.1" outlineLevel="0" r="181">
      <c r="A181" s="5" t="s">
        <f>=HYPERLINK("https://www.leilaoonline.com.br/lote/detalhe/259791", "11826")</f>
      </c>
      <c r="B181" s="4" t="s">
        <f>=HYPERLINK("https://www.leilaoonline.com.br/lote/detalhe/259791", " TRANSBORDO ATA 12 TON; ANO 2010. - FR123796. - LOC.BONFIM ")</f>
      </c>
      <c r="C181" s="4" t="inlineStr">
        <is>
          <t>Vendido</t>
        </is>
      </c>
      <c r="D181" s="4" t="inlineStr">
        <is>
          <t>6</t>
        </is>
      </c>
      <c r="E181" s="5" t="inlineStr">
        <is>
          <t>15.000,00</t>
        </is>
      </c>
      <c r="F181" s="4" t="inlineStr">
        <is>
          <t>1000.00</t>
        </is>
      </c>
    </row>
    <row collapsed="false" customFormat="false" customHeight="false" hidden="false" ht="12.1" outlineLevel="0" r="182">
      <c r="A182" s="5" t="s">
        <f>=HYPERLINK("https://www.leilaoonline.com.br/lote/detalhe/259786", "11827")</f>
      </c>
      <c r="B182" s="4" t="s">
        <f>=HYPERLINK("https://www.leilaoonline.com.br/lote/detalhe/259786", " TRANSBORDO ATA 12 TON; ANO 2010. - FR123787. - LOC.BONFIM ")</f>
      </c>
      <c r="C182" s="4" t="inlineStr">
        <is>
          <t>Não vendido</t>
        </is>
      </c>
      <c r="D182" s="4" t="inlineStr">
        <is>
          <t>13</t>
        </is>
      </c>
      <c r="E182" s="5" t="inlineStr">
        <is>
          <t>22.000,00</t>
        </is>
      </c>
      <c r="F182" s="4" t="inlineStr">
        <is>
          <t>1000.00</t>
        </is>
      </c>
    </row>
    <row collapsed="false" customFormat="false" customHeight="false" hidden="false" ht="12.1" outlineLevel="0" r="183">
      <c r="A183" s="5" t="s">
        <f>=HYPERLINK("https://www.leilaoonline.com.br/lote/detalhe/259789", "11829")</f>
      </c>
      <c r="B183" s="4" t="s">
        <f>=HYPERLINK("https://www.leilaoonline.com.br/lote/detalhe/259789", " REBOQUE SERNAUTO 001; ANO 2014/2014; AZUL . - FR360701. - LOC. ZANIN ")</f>
      </c>
      <c r="C183" s="4" t="inlineStr">
        <is>
          <t>Vendido</t>
        </is>
      </c>
      <c r="D183" s="4" t="inlineStr">
        <is>
          <t>7</t>
        </is>
      </c>
      <c r="E183" s="5" t="inlineStr">
        <is>
          <t>7.000,00</t>
        </is>
      </c>
      <c r="F183" s="4" t="inlineStr">
        <is>
          <t>500.00</t>
        </is>
      </c>
    </row>
    <row collapsed="false" customFormat="false" customHeight="false" hidden="false" ht="12.1" outlineLevel="0" r="184">
      <c r="A184" s="5" t="s">
        <f>=HYPERLINK("https://www.leilaoonline.com.br/lote/detalhe/259766", "11830")</f>
      </c>
      <c r="B184" s="4" t="s">
        <f>=HYPERLINK("https://www.leilaoonline.com.br/lote/detalhe/259766", " ÔNIBUS MERCEDES BENZ 1620; ANO 1995/1995; AZUL. - FR360332. - LOC.ZANIN")</f>
      </c>
      <c r="C184" s="4" t="inlineStr">
        <is>
          <t>Vendido</t>
        </is>
      </c>
      <c r="D184" s="4" t="inlineStr">
        <is>
          <t>32</t>
        </is>
      </c>
      <c r="E184" s="5" t="inlineStr">
        <is>
          <t>25.500,00</t>
        </is>
      </c>
      <c r="F184" s="4" t="inlineStr">
        <is>
          <t>500.00</t>
        </is>
      </c>
    </row>
    <row collapsed="false" customFormat="false" customHeight="false" hidden="false" ht="12.1" outlineLevel="0" r="185">
      <c r="A185" s="5" t="s">
        <f>=HYPERLINK("https://www.leilaoonline.com.br/lote/detalhe/259768", "11831")</f>
      </c>
      <c r="B185" s="4" t="s">
        <f>=HYPERLINK("https://www.leilaoonline.com.br/lote/detalhe/259768", " TANQUE DE AÇO. - FR361846. - LOC.ZANIN")</f>
      </c>
      <c r="C185" s="4" t="inlineStr">
        <is>
          <t>Vendido</t>
        </is>
      </c>
      <c r="D185" s="4" t="inlineStr">
        <is>
          <t>7</t>
        </is>
      </c>
      <c r="E185" s="5" t="inlineStr">
        <is>
          <t>11.000,00</t>
        </is>
      </c>
      <c r="F185" s="4" t="inlineStr">
        <is>
          <t>500.00</t>
        </is>
      </c>
    </row>
    <row collapsed="false" customFormat="false" customHeight="false" hidden="false" ht="12.1" outlineLevel="0" r="186">
      <c r="A186" s="5" t="s">
        <f>=HYPERLINK("https://www.leilaoonline.com.br/lote/detalhe/259771", "11832")</f>
      </c>
      <c r="B186" s="4" t="s">
        <f>=HYPERLINK("https://www.leilaoonline.com.br/lote/detalhe/259771", " CAMINHÃO MERCEDES BENZ L 2638; ANO 2002/2002; BRANCA; (CARROCERIA BASCULANTE). - FR120849. - LOC. ZANIN ")</f>
      </c>
      <c r="C186" s="4" t="inlineStr">
        <is>
          <t>Não vendido</t>
        </is>
      </c>
      <c r="D186" s="4" t="inlineStr">
        <is>
          <t>78</t>
        </is>
      </c>
      <c r="E186" s="5" t="inlineStr">
        <is>
          <t>130.000,00</t>
        </is>
      </c>
      <c r="F186" s="4" t="inlineStr">
        <is>
          <t>1000.00</t>
        </is>
      </c>
    </row>
    <row collapsed="false" customFormat="false" customHeight="false" hidden="false" ht="12.1" outlineLevel="0" r="187">
      <c r="A187" s="5" t="s">
        <f>=HYPERLINK("https://www.leilaoonline.com.br/lote/detalhe/259792", "11833")</f>
      </c>
      <c r="B187" s="4" t="s">
        <f>=HYPERLINK("https://www.leilaoonline.com.br/lote/detalhe/259792", " CAMINHÃO VOLKSWAGEN CRM 6X4; ANO 2012/2013; BRANCA; (CARROCERIA BORRACHEIRO). - FR131223. - LOC.SERRA")</f>
      </c>
      <c r="C187" s="4" t="inlineStr">
        <is>
          <t>Vendido</t>
        </is>
      </c>
      <c r="D187" s="4" t="inlineStr">
        <is>
          <t>119</t>
        </is>
      </c>
      <c r="E187" s="5" t="inlineStr">
        <is>
          <t>148.000,00</t>
        </is>
      </c>
      <c r="F187" s="4" t="inlineStr">
        <is>
          <t>1000.00</t>
        </is>
      </c>
    </row>
    <row collapsed="false" customFormat="false" customHeight="false" hidden="false" ht="12.1" outlineLevel="0" r="188">
      <c r="A188" s="5" t="s">
        <f>=HYPERLINK("https://www.leilaoonline.com.br/lote/detalhe/259925", "31313")</f>
      </c>
      <c r="B188" s="4" t="s">
        <f>=HYPERLINK("https://www.leilaoonline.com.br/lote/detalhe/259925", "PLANTADORA CANA PICADA 225 CV 17M 6TO; ANO 2013.- PT294454. - LOC. RIO BRILHANTE ")</f>
      </c>
      <c r="C188" s="4" t="inlineStr">
        <is>
          <t>Não vendido</t>
        </is>
      </c>
      <c r="D188" s="4" t="inlineStr">
        <is>
          <t>1</t>
        </is>
      </c>
      <c r="E188" s="5" t="inlineStr">
        <is>
          <t>10.000,00</t>
        </is>
      </c>
      <c r="F188" s="4" t="inlineStr">
        <is>
          <t>500.00</t>
        </is>
      </c>
    </row>
    <row collapsed="false" customFormat="false" customHeight="false" hidden="false" ht="12.1" outlineLevel="0" r="189">
      <c r="A189" s="5" t="s">
        <f>=HYPERLINK("https://www.leilaoonline.com.br/lote/detalhe/259948", "31323")</f>
      </c>
      <c r="B189" s="4" t="s">
        <f>=HYPERLINK("https://www.leilaoonline.com.br/lote/detalhe/259948", "PLANTADORA CANA PICADA 225 CV 17M 6TO; ANO 2013.- PT294782. - LOC. RIO BRILHANTE ")</f>
      </c>
      <c r="C189" s="4" t="inlineStr">
        <is>
          <t>Não vendido</t>
        </is>
      </c>
      <c r="D189" s="4" t="inlineStr">
        <is>
          <t>1</t>
        </is>
      </c>
      <c r="E189" s="5" t="inlineStr">
        <is>
          <t>10.000,00</t>
        </is>
      </c>
      <c r="F189" s="4" t="inlineStr">
        <is>
          <t>500.00</t>
        </is>
      </c>
    </row>
    <row collapsed="false" customFormat="false" customHeight="false" hidden="false" ht="12.1" outlineLevel="0" r="190">
      <c r="A190" s="5" t="s">
        <f>=HYPERLINK("https://www.leilaoonline.com.br/lote/detalhe/259713", "31539")</f>
      </c>
      <c r="B190" s="4" t="s">
        <f>=HYPERLINK("https://www.leilaoonline.com.br/lote/detalhe/259713", "SUCATA DE ITENS DE ESCRITÓRIO; CONTENDO APROX. 60 CADEIRAS, 2 BALCÕES, 11 PRATELEIRAS, 1 ARMÁRIO, 1 PAINEL, 1 LOUSA BRANCA. - S/FR. - LOC. TARUMÃ")</f>
      </c>
      <c r="C190" s="4" t="inlineStr">
        <is>
          <t>Vendido</t>
        </is>
      </c>
      <c r="D190" s="4" t="inlineStr">
        <is>
          <t>1</t>
        </is>
      </c>
      <c r="E190" s="5" t="inlineStr">
        <is>
          <t>500,00</t>
        </is>
      </c>
      <c r="F190" s="4" t="inlineStr">
        <is>
          <t>100.00</t>
        </is>
      </c>
    </row>
    <row collapsed="false" customFormat="false" customHeight="false" hidden="false" ht="12.1" outlineLevel="0" r="191">
      <c r="A191" s="5" t="s">
        <f>=HYPERLINK("https://www.leilaoonline.com.br/lote/detalhe/259234", "31733")</f>
      </c>
      <c r="B191" s="4" t="s">
        <f>=HYPERLINK("https://www.leilaoonline.com.br/lote/detalhe/259234", "SUCATA DE TRATOR JOHN DEERE 7210J 4X4; ANO 2016. - FR4435154. - LOC. CAARAPÓ")</f>
      </c>
      <c r="C191" s="4" t="inlineStr">
        <is>
          <t>Não vendido</t>
        </is>
      </c>
      <c r="D191" s="4" t="inlineStr">
        <is>
          <t>6</t>
        </is>
      </c>
      <c r="E191" s="5" t="inlineStr">
        <is>
          <t>27.000,00</t>
        </is>
      </c>
      <c r="F191" s="4" t="inlineStr">
        <is>
          <t>1000.00</t>
        </is>
      </c>
    </row>
    <row collapsed="false" customFormat="false" customHeight="false" hidden="false" ht="12.1" outlineLevel="0" r="192">
      <c r="A192" s="5" t="s">
        <f>=HYPERLINK("https://www.leilaoonline.com.br/lote/detalhe/259869", "31755")</f>
      </c>
      <c r="B192" s="4" t="s">
        <f>=HYPERLINK("https://www.leilaoonline.com.br/lote/detalhe/259869", " ÁREA VIVENCIA PEQUENA 04 LUGARES; ANO 2012; COR AZUL. - FR13004206. - LOC. MB")</f>
      </c>
      <c r="C192" s="4" t="inlineStr">
        <is>
          <t>Não vendido</t>
        </is>
      </c>
      <c r="D192" s="4" t="inlineStr">
        <is>
          <t>0</t>
        </is>
      </c>
      <c r="E192" s="5" t="inlineStr">
        <is>
          <t>1.500,00</t>
        </is>
      </c>
      <c r="F192" s="4" t="inlineStr">
        <is>
          <t>500.00</t>
        </is>
      </c>
    </row>
    <row collapsed="false" customFormat="false" customHeight="false" hidden="false" ht="12.1" outlineLevel="0" r="193">
      <c r="A193" s="5" t="s">
        <f>=HYPERLINK("https://www.leilaoonline.com.br/lote/detalhe/259457", "31785")</f>
      </c>
      <c r="B193" s="4" t="s">
        <f>=HYPERLINK("https://www.leilaoonline.com.br/lote/detalhe/259457", "REBOQUE RANDON SP RQ CA; ANO 2010/2010; AZUL. - FR93632. - LOC. JUNQUEIRA")</f>
      </c>
      <c r="C193" s="4" t="inlineStr">
        <is>
          <t>Não vendido</t>
        </is>
      </c>
      <c r="D193" s="4" t="inlineStr">
        <is>
          <t>26</t>
        </is>
      </c>
      <c r="E193" s="5" t="inlineStr">
        <is>
          <t>40.000,00</t>
        </is>
      </c>
      <c r="F193" s="4" t="inlineStr">
        <is>
          <t>1000.00</t>
        </is>
      </c>
    </row>
    <row collapsed="false" customFormat="false" customHeight="false" hidden="false" ht="12.1" outlineLevel="0" r="194">
      <c r="A194" s="5" t="s">
        <f>=HYPERLINK("https://www.leilaoonline.com.br/lote/detalhe/259847", "31787")</f>
      </c>
      <c r="B194" s="4" t="s">
        <f>=HYPERLINK("https://www.leilaoonline.com.br/lote/detalhe/259847", " 02 CESTOS CENTRIFUGA  AÇÚCAR. - S/FR. - LOC. JUNQUEIRA ")</f>
      </c>
      <c r="C194" s="4" t="inlineStr">
        <is>
          <t>Não vendido</t>
        </is>
      </c>
      <c r="D194" s="4" t="inlineStr">
        <is>
          <t>1</t>
        </is>
      </c>
      <c r="E194" s="5" t="inlineStr">
        <is>
          <t>2.000,00</t>
        </is>
      </c>
      <c r="F194" s="4" t="inlineStr">
        <is>
          <t>200.00</t>
        </is>
      </c>
    </row>
    <row collapsed="false" customFormat="false" customHeight="false" hidden="false" ht="12.1" outlineLevel="0" r="195">
      <c r="A195" s="5" t="s">
        <f>=HYPERLINK("https://www.leilaoonline.com.br/lote/detalhe/259679", "32210")</f>
      </c>
      <c r="B195" s="4" t="s">
        <f>=HYPERLINK("https://www.leilaoonline.com.br/lote/detalhe/259679", "ÁREA DE VIVÊNCIA FABRICAÇÃO PRÓPRIA. - S/FR. - LOC. PASSATEMPO ")</f>
      </c>
      <c r="C195" s="4" t="inlineStr">
        <is>
          <t>Vendido</t>
        </is>
      </c>
      <c r="D195" s="4" t="inlineStr">
        <is>
          <t>2</t>
        </is>
      </c>
      <c r="E195" s="5" t="inlineStr">
        <is>
          <t>600,00</t>
        </is>
      </c>
      <c r="F195" s="4" t="inlineStr">
        <is>
          <t>100.00</t>
        </is>
      </c>
    </row>
    <row collapsed="false" customFormat="false" customHeight="false" hidden="false" ht="12.1" outlineLevel="0" r="196">
      <c r="A196" s="5" t="s">
        <f>=HYPERLINK("https://www.leilaoonline.com.br/lote/detalhe/259231", "32264")</f>
      </c>
      <c r="B196" s="4" t="s">
        <f>=HYPERLINK("https://www.leilaoonline.com.br/lote/detalhe/259231", "APROX. 100 PALETES; (LANCE POR UNIDADE). - S/FR. - LOC. ZANIN  ")</f>
      </c>
      <c r="C196" s="4" t="inlineStr">
        <is>
          <t>Não vendido</t>
        </is>
      </c>
      <c r="D196" s="4" t="inlineStr">
        <is>
          <t>0</t>
        </is>
      </c>
      <c r="E196" s="5" t="inlineStr">
        <is>
          <t>1,00</t>
        </is>
      </c>
      <c r="F196" s="4" t="inlineStr">
        <is>
          <t>0.10</t>
        </is>
      </c>
    </row>
    <row collapsed="false" customFormat="false" customHeight="false" hidden="false" ht="12.1" outlineLevel="0" r="197">
      <c r="A197" s="5" t="s">
        <f>=HYPERLINK("https://www.leilaoonline.com.br/lote/detalhe/259232", "32279")</f>
      </c>
      <c r="B197" s="4" t="s">
        <f>=HYPERLINK("https://www.leilaoonline.com.br/lote/detalhe/259232", "SUBSOLADOR; ANO 2012. - FR48104. - LOC. IPAUSSU")</f>
      </c>
      <c r="C197" s="4" t="inlineStr">
        <is>
          <t>Não vendido</t>
        </is>
      </c>
      <c r="D197" s="4" t="inlineStr">
        <is>
          <t>1</t>
        </is>
      </c>
      <c r="E197" s="5" t="inlineStr">
        <is>
          <t>1.000,00</t>
        </is>
      </c>
      <c r="F197" s="4" t="inlineStr">
        <is>
          <t>200.00</t>
        </is>
      </c>
    </row>
    <row collapsed="false" customFormat="false" customHeight="false" hidden="false" ht="12.1" outlineLevel="0" r="198">
      <c r="A198" s="5" t="s">
        <f>=HYPERLINK("https://www.leilaoonline.com.br/lote/detalhe/259233", "32282")</f>
      </c>
      <c r="B198" s="4" t="s">
        <f>=HYPERLINK("https://www.leilaoonline.com.br/lote/detalhe/259233", "  20 BOMBAS COSTAL DE 20LTS; MARCA JACTO - SUCATEADAS. - S/FR. - LOC. IPAUSSU")</f>
      </c>
      <c r="C198" s="4" t="inlineStr">
        <is>
          <t>Não vendido</t>
        </is>
      </c>
      <c r="D198" s="4" t="inlineStr">
        <is>
          <t>0</t>
        </is>
      </c>
      <c r="E198" s="5" t="inlineStr">
        <is>
          <t>100,00</t>
        </is>
      </c>
      <c r="F198" s="4" t="inlineStr">
        <is>
          <t>50.00</t>
        </is>
      </c>
    </row>
    <row collapsed="false" customFormat="false" customHeight="false" hidden="false" ht="12.1" outlineLevel="0" r="199">
      <c r="A199" s="5" t="s">
        <f>=HYPERLINK("https://www.leilaoonline.com.br/lote/detalhe/259240", "32284")</f>
      </c>
      <c r="B199" s="4" t="s">
        <f>=HYPERLINK("https://www.leilaoonline.com.br/lote/detalhe/259240", "RESERVATÓRIO PARA IMPLEMENTO AGRÍCOLA 550 LTS. - S/FR. - LOC. IPAUSSU")</f>
      </c>
      <c r="C199" s="4" t="inlineStr">
        <is>
          <t>Não vendido</t>
        </is>
      </c>
      <c r="D199" s="4" t="inlineStr">
        <is>
          <t>0</t>
        </is>
      </c>
      <c r="E199" s="5" t="inlineStr">
        <is>
          <t>500,00</t>
        </is>
      </c>
      <c r="F199" s="4" t="inlineStr">
        <is>
          <t>100.00</t>
        </is>
      </c>
    </row>
    <row collapsed="false" customFormat="false" customHeight="false" hidden="false" ht="12.1" outlineLevel="0" r="200">
      <c r="A200" s="5" t="s">
        <f>=HYPERLINK("https://www.leilaoonline.com.br/lote/detalhe/259645", "32309")</f>
      </c>
      <c r="B200" s="4" t="s">
        <f>=HYPERLINK("https://www.leilaoonline.com.br/lote/detalhe/259645", "CADEIRAS DE ESCRITÓRIO; AR COND. FREEZER; ARMÁRIOS E PRATELEIRAS DE AÇO; CAIXA TÉRMICA; BEBEDOURO; MACAS (MADEIRA NÃO ESTÁ INCLUSA NO LOTE) . - S/FR. - LOC. JATAÍ")</f>
      </c>
      <c r="C200" s="4" t="inlineStr">
        <is>
          <t>Não vendido</t>
        </is>
      </c>
      <c r="D200" s="4" t="inlineStr">
        <is>
          <t>0</t>
        </is>
      </c>
      <c r="E200" s="5" t="inlineStr">
        <is>
          <t>1.000,00</t>
        </is>
      </c>
      <c r="F200" s="4" t="inlineStr">
        <is>
          <t>100.00</t>
        </is>
      </c>
    </row>
    <row collapsed="false" customFormat="false" customHeight="false" hidden="false" ht="12.1" outlineLevel="0" r="201">
      <c r="A201" s="5" t="s">
        <f>=HYPERLINK("https://www.leilaoonline.com.br/lote/detalhe/259238", "32633")</f>
      </c>
      <c r="B201" s="4" t="s">
        <f>=HYPERLINK("https://www.leilaoonline.com.br/lote/detalhe/259238", " CARROCERIA BAÚ; ANO 2012. - FR483592. - LOC. LEME ")</f>
      </c>
      <c r="C201" s="4" t="inlineStr">
        <is>
          <t>Vendido</t>
        </is>
      </c>
      <c r="D201" s="4" t="inlineStr">
        <is>
          <t>2</t>
        </is>
      </c>
      <c r="E201" s="5" t="inlineStr">
        <is>
          <t>3.000,00</t>
        </is>
      </c>
      <c r="F201" s="4" t="inlineStr">
        <is>
          <t>500.00</t>
        </is>
      </c>
    </row>
    <row collapsed="false" customFormat="false" customHeight="false" hidden="false" ht="12.1" outlineLevel="0" r="202">
      <c r="A202" s="5" t="s">
        <f>=HYPERLINK("https://www.leilaoonline.com.br/lote/detalhe/259263", "33202")</f>
      </c>
      <c r="B202" s="4" t="s">
        <f>=HYPERLINK("https://www.leilaoonline.com.br/lote/detalhe/259263", " REBOQUE FNC FRUEHAUF; ANO 1986/1986; AZUL; COM CARRETEL HIDRO ROLL. - FR81931/FR88924. - LOC. GASA (MODAL) ")</f>
      </c>
      <c r="C202" s="4" t="inlineStr">
        <is>
          <t>Não vendido</t>
        </is>
      </c>
      <c r="D202" s="4" t="inlineStr">
        <is>
          <t>0</t>
        </is>
      </c>
      <c r="E202" s="5" t="inlineStr">
        <is>
          <t>5.000,00</t>
        </is>
      </c>
      <c r="F202" s="4" t="inlineStr">
        <is>
          <t>1000.00</t>
        </is>
      </c>
    </row>
    <row collapsed="false" customFormat="false" customHeight="false" hidden="false" ht="12.1" outlineLevel="0" r="203">
      <c r="A203" s="5" t="s">
        <f>=HYPERLINK("https://www.leilaoonline.com.br/lote/detalhe/259853", "33359")</f>
      </c>
      <c r="B203" s="4" t="s">
        <f>=HYPERLINK("https://www.leilaoonline.com.br/lote/detalhe/259853", " PLANTADORA CANA ATA PCP 1102; ANO 2012. - FR92829. - LOC. JUNQUEIRA")</f>
      </c>
      <c r="C203" s="4" t="inlineStr">
        <is>
          <t>Não vendido</t>
        </is>
      </c>
      <c r="D203" s="4" t="inlineStr">
        <is>
          <t>1</t>
        </is>
      </c>
      <c r="E203" s="5" t="inlineStr">
        <is>
          <t>10.000,00</t>
        </is>
      </c>
      <c r="F203" s="4" t="inlineStr">
        <is>
          <t>500.00</t>
        </is>
      </c>
    </row>
    <row collapsed="false" customFormat="false" customHeight="false" hidden="false" ht="12.1" outlineLevel="0" r="204">
      <c r="A204" s="5" t="s">
        <f>=HYPERLINK("https://www.leilaoonline.com.br/lote/detalhe/259458", "33506")</f>
      </c>
      <c r="B204" s="4" t="s">
        <f>=HYPERLINK("https://www.leilaoonline.com.br/lote/detalhe/259458", " SUCATA DE MOTOBOMBA; (CHASSI) - FR14005040. - LOC. SANTA ELISA")</f>
      </c>
      <c r="C204" s="4" t="inlineStr">
        <is>
          <t>Não vendido</t>
        </is>
      </c>
      <c r="D204" s="4" t="inlineStr">
        <is>
          <t>4</t>
        </is>
      </c>
      <c r="E204" s="5" t="inlineStr">
        <is>
          <t>2.400,00</t>
        </is>
      </c>
      <c r="F204" s="4" t="inlineStr">
        <is>
          <t>200.00</t>
        </is>
      </c>
    </row>
    <row collapsed="false" customFormat="false" customHeight="false" hidden="false" ht="12.1" outlineLevel="0" r="205">
      <c r="A205" s="5" t="s">
        <f>=HYPERLINK("https://www.leilaoonline.com.br/lote/detalhe/259864", "33560")</f>
      </c>
      <c r="B205" s="4" t="s">
        <f>=HYPERLINK("https://www.leilaoonline.com.br/lote/detalhe/259864", " PLANTADORA CANA TMA 2 LINHAS; ANO 2014. - FR92867. - LOC. JUNQUEIRA")</f>
      </c>
      <c r="C205" s="4" t="inlineStr">
        <is>
          <t>Não vendido</t>
        </is>
      </c>
      <c r="D205" s="4" t="inlineStr">
        <is>
          <t>0</t>
        </is>
      </c>
      <c r="E205" s="5" t="inlineStr">
        <is>
          <t>10.000,00</t>
        </is>
      </c>
      <c r="F205" s="4" t="inlineStr">
        <is>
          <t>500.00</t>
        </is>
      </c>
    </row>
    <row collapsed="false" customFormat="false" customHeight="false" hidden="false" ht="12.1" outlineLevel="0" r="206">
      <c r="A206" s="5" t="s">
        <f>=HYPERLINK("https://www.leilaoonline.com.br/lote/detalhe/259229", "33601")</f>
      </c>
      <c r="B206" s="4" t="s">
        <f>=HYPERLINK("https://www.leilaoonline.com.br/lote/detalhe/259229", "SEMI REBOQUE RANDON EQ CA; ANO 2008/2008; AZUL. - FR81979. - LOC. ZANIN ")</f>
      </c>
      <c r="C206" s="4" t="inlineStr">
        <is>
          <t>Não vendido</t>
        </is>
      </c>
      <c r="D206" s="4" t="inlineStr">
        <is>
          <t>0</t>
        </is>
      </c>
      <c r="E206" s="5" t="inlineStr">
        <is>
          <t>10.000,00</t>
        </is>
      </c>
      <c r="F206" s="4" t="inlineStr">
        <is>
          <t>1000.00</t>
        </is>
      </c>
    </row>
    <row collapsed="false" customFormat="false" customHeight="false" hidden="false" ht="12.1" outlineLevel="0" r="207">
      <c r="A207" s="5" t="s">
        <f>=HYPERLINK("https://www.leilaoonline.com.br/lote/detalhe/259273", "33739")</f>
      </c>
      <c r="B207" s="4" t="s">
        <f>=HYPERLINK("https://www.leilaoonline.com.br/lote/detalhe/259273", " CAMINHÃO VOLKSWAGEN 26.280 CRM 6X4; ANO 2012/2013; BRANCA. - FR81312. - LOC. UNIVALEM ")</f>
      </c>
      <c r="C207" s="4" t="inlineStr">
        <is>
          <t>Vendido</t>
        </is>
      </c>
      <c r="D207" s="4" t="inlineStr">
        <is>
          <t>69</t>
        </is>
      </c>
      <c r="E207" s="5" t="inlineStr">
        <is>
          <t>106.000,00</t>
        </is>
      </c>
      <c r="F207" s="4" t="inlineStr">
        <is>
          <t>1000.00</t>
        </is>
      </c>
    </row>
    <row collapsed="false" customFormat="false" customHeight="false" hidden="false" ht="12.1" outlineLevel="0" r="208">
      <c r="A208" s="5" t="s">
        <f>=HYPERLINK("https://www.leilaoonline.com.br/lote/detalhe/259459", "33823")</f>
      </c>
      <c r="B208" s="4" t="s">
        <f>=HYPERLINK("https://www.leilaoonline.com.br/lote/detalhe/259459", "PREPARADOR DE SOLO PENTA LIPOW; ANO 2014. - FR11003758. - LOC. VALE DO ROSÁRIO")</f>
      </c>
      <c r="C208" s="4" t="inlineStr">
        <is>
          <t>Não vendido</t>
        </is>
      </c>
      <c r="D208" s="4" t="inlineStr">
        <is>
          <t>0</t>
        </is>
      </c>
      <c r="E208" s="5" t="inlineStr">
        <is>
          <t>1.500,00</t>
        </is>
      </c>
      <c r="F208" s="4" t="inlineStr">
        <is>
          <t>200.00</t>
        </is>
      </c>
    </row>
    <row collapsed="false" customFormat="false" customHeight="false" hidden="false" ht="12.1" outlineLevel="0" r="209">
      <c r="A209" s="5" t="s">
        <f>=HYPERLINK("https://www.leilaoonline.com.br/lote/detalhe/259863", "33833")</f>
      </c>
      <c r="B209" s="4" t="s">
        <f>=HYPERLINK("https://www.leilaoonline.com.br/lote/detalhe/259863", " DISTRIBUIDOR TORTA FILTRO E ADUBO DMB; ANO 2016. - FR11003810. - LOC. VALE DO ROSÁRIO ")</f>
      </c>
      <c r="C209" s="4" t="inlineStr">
        <is>
          <t>Não vendido</t>
        </is>
      </c>
      <c r="D209" s="4" t="inlineStr">
        <is>
          <t>0</t>
        </is>
      </c>
      <c r="E209" s="5" t="inlineStr">
        <is>
          <t>5.000,00</t>
        </is>
      </c>
      <c r="F209" s="4" t="inlineStr">
        <is>
          <t>250.00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2026-08-05T07:50:30.00Z</dcterms:created>
  <dc:creator>Tellks Tecnologia</dc:creator>
  <cp:revision>0</cp:revision>
</cp:coreProperties>
</file>