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20 CAMINHÕES - 15 TRATORES - 2 PULV. JD - 12 COLHEDORAS - 25 REBOQUES - TRANSBORDOS -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03/09/2025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=HYPERLINK("https://www.leilaoonline.com.br/lote/detalhe/295149", "1337")</f>
      </c>
      <c r="B11" s="4" t="s">
        <f>=HYPERLINK("https://www.leilaoonline.com.br/lote/detalhe/295149", "SUCATA DE REBOQUE RODOVIÁRIA; ANO 1984/1984. AZUL - FR96501. - (VENDA SEM DOCUMENTO). - LOC. BARRA ")</f>
      </c>
      <c r="C11" s="4" t="inlineStr">
        <is>
          <t>Vendido</t>
        </is>
      </c>
      <c r="D11" s="4" t="inlineStr">
        <is>
          <t>11</t>
        </is>
      </c>
      <c r="E11" s="5" t="inlineStr">
        <is>
          <t>10.000,00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=HYPERLINK("https://www.leilaoonline.com.br/lote/detalhe/292933", "1343")</f>
      </c>
      <c r="B12" s="4" t="s">
        <f>=HYPERLINK("https://www.leilaoonline.com.br/lote/detalhe/292933", "COLHEDORA JOHN DEERE CH570. - ANO 2017 - FR360916. - (PÁTIO DESINVESTIMENTO). - LOC. PARAISO ")</f>
      </c>
      <c r="C12" s="4" t="inlineStr">
        <is>
          <t>Não vendido</t>
        </is>
      </c>
      <c r="D12" s="4" t="inlineStr">
        <is>
          <t>19</t>
        </is>
      </c>
      <c r="E12" s="5" t="inlineStr">
        <is>
          <t>66.000,00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=HYPERLINK("https://www.leilaoonline.com.br/lote/detalhe/292934", "1344")</f>
      </c>
      <c r="B13" s="4" t="s">
        <f>=HYPERLINK("https://www.leilaoonline.com.br/lote/detalhe/292934", "COLHEDORA JOHN DEERE 3520 - ANO 2015. - FR11802178. - (PÁTIO DESINVESTIMENTO). -  LOC. PARAISO")</f>
      </c>
      <c r="C13" s="4" t="inlineStr">
        <is>
          <t>Não vendido</t>
        </is>
      </c>
      <c r="D13" s="4" t="inlineStr">
        <is>
          <t>49</t>
        </is>
      </c>
      <c r="E13" s="5" t="inlineStr">
        <is>
          <t>80.000,00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=HYPERLINK("https://www.leilaoonline.com.br/lote/detalhe/292804", "1395")</f>
      </c>
      <c r="B14" s="4" t="s">
        <f>=HYPERLINK("https://www.leilaoonline.com.br/lote/detalhe/292804", "TRATOR CASE MX 260 MAGNUM - ANO 2017 - FR20287 - LOC. PARAÍSO")</f>
      </c>
      <c r="C14" s="4" t="inlineStr">
        <is>
          <t>Vendido</t>
        </is>
      </c>
      <c r="D14" s="4" t="inlineStr">
        <is>
          <t>8</t>
        </is>
      </c>
      <c r="E14" s="5" t="inlineStr">
        <is>
          <t>97.500,00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=HYPERLINK("https://www.leilaoonline.com.br/lote/detalhe/292798", "1637")</f>
      </c>
      <c r="B15" s="4" t="s">
        <f>=HYPERLINK("https://www.leilaoonline.com.br/lote/detalhe/292798", "SUCATA DE ESTEIRA DE AÇO CARBONO - (VENDA POR KG) - (PÁTIO DESINVESTIMENTO) - LOC. TARUMÃ")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1,00</t>
        </is>
      </c>
      <c r="F15" s="4" t="inlineStr">
        <is>
          <t>0.10</t>
        </is>
      </c>
    </row>
    <row collapsed="false" customFormat="false" customHeight="false" hidden="false" ht="12.1" outlineLevel="0" r="16">
      <c r="A16" s="5" t="s">
        <f>=HYPERLINK("https://www.leilaoonline.com.br/lote/detalhe/292799", "1638")</f>
      </c>
      <c r="B16" s="4" t="s">
        <f>=HYPERLINK("https://www.leilaoonline.com.br/lote/detalhe/292799", "TRANSPORTADOR HELICOIDAL SUCATEADO  - INOX - (PÁTIO DESINVESTIMENTO) - LOC. TARUMÃ")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350,00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=HYPERLINK("https://www.leilaoonline.com.br/lote/detalhe/292800", "1639")</f>
      </c>
      <c r="B17" s="4" t="s">
        <f>=HYPERLINK("https://www.leilaoonline.com.br/lote/detalhe/292800", "TANQUE DE AÇO CARBONO SUCATEADO - (PÁTIO DESINVESTIMENTO) - LOC. TARUMÃ")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250,00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=HYPERLINK("https://www.leilaoonline.com.br/lote/detalhe/292801", "1640")</f>
      </c>
      <c r="B18" s="4" t="s">
        <f>=HYPERLINK("https://www.leilaoonline.com.br/lote/detalhe/292801", "TROCADOR DE CALOR SUCATEADO, COM APROXIMADAMENTE 20 POLACAS E FILTRO - (PÁTIO DESINVESTIMENTO) - LOC. TARUMÃ")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500,00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=HYPERLINK("https://www.leilaoonline.com.br/lote/detalhe/293033", "1643")</f>
      </c>
      <c r="B19" s="4" t="s">
        <f>=HYPERLINK("https://www.leilaoonline.com.br/lote/detalhe/293033", "TANQUE CILINDRICO 3800X2000MM - SUCATEADO - (PRÓXIMO AO AMBULATÓRIO) - LOC. MARACAÍ")</f>
      </c>
      <c r="C19" s="4" t="inlineStr">
        <is>
          <t>Vendido</t>
        </is>
      </c>
      <c r="D19" s="4" t="inlineStr">
        <is>
          <t>1</t>
        </is>
      </c>
      <c r="E19" s="5" t="inlineStr">
        <is>
          <t>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=HYPERLINK("https://www.leilaoonline.com.br/lote/detalhe/295099", "1706")</f>
      </c>
      <c r="B20" s="4" t="s">
        <f>=HYPERLINK("https://www.leilaoonline.com.br/lote/detalhe/295099", "BAÚ DE ALUMÍNIO (COM MÁQUINA DE SOLDA, BEXIGA COMPRESSOR, ARMÁRIOS DE AÇO) - S/FR - LOC. CONTINENTAL")</f>
      </c>
      <c r="C20" s="4" t="inlineStr">
        <is>
          <t>Não vendido</t>
        </is>
      </c>
      <c r="D20" s="4" t="inlineStr">
        <is>
          <t>34</t>
        </is>
      </c>
      <c r="E20" s="5" t="inlineStr">
        <is>
          <t>10.750,00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=HYPERLINK("https://www.leilaoonline.com.br/lote/detalhe/295102", "2027")</f>
      </c>
      <c r="B21" s="4" t="s">
        <f>=HYPERLINK("https://www.leilaoonline.com.br/lote/detalhe/295102", " BALANÇA TOLEDO - PAT.53095 - (FÁBRICA) - LOC. BOM RETIRO")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=HYPERLINK("https://www.leilaoonline.com.br/lote/detalhe/292806", "2047")</f>
      </c>
      <c r="B22" s="4" t="s">
        <f>=HYPERLINK("https://www.leilaoonline.com.br/lote/detalhe/292806", "TRATOR CASE 260 MAGNUM; ANO 2017. - FR10750. - LOC. JUNQUEIRA ")</f>
      </c>
      <c r="C22" s="4" t="inlineStr">
        <is>
          <t>Vendido</t>
        </is>
      </c>
      <c r="D22" s="4" t="inlineStr">
        <is>
          <t>3</t>
        </is>
      </c>
      <c r="E22" s="5" t="inlineStr">
        <is>
          <t>85.000,00</t>
        </is>
      </c>
      <c r="F22" s="4" t="inlineStr">
        <is>
          <t>2500.00</t>
        </is>
      </c>
    </row>
    <row collapsed="false" customFormat="false" customHeight="false" hidden="false" ht="12.1" outlineLevel="0" r="23">
      <c r="A23" s="5" t="s">
        <f>=HYPERLINK("https://www.leilaoonline.com.br/lote/detalhe/292863", "2066")</f>
      </c>
      <c r="B23" s="4" t="s">
        <f>=HYPERLINK("https://www.leilaoonline.com.br/lote/detalhe/292863", "TANQUE 5000L HIDROSOLUTION CT1000. - FR88939. - (PÁTIO VINHAÇA - MODAL). - LOC. GASA ")</f>
      </c>
      <c r="C23" s="4" t="inlineStr">
        <is>
          <t>Vendido</t>
        </is>
      </c>
      <c r="D23" s="4" t="inlineStr">
        <is>
          <t>25</t>
        </is>
      </c>
      <c r="E23" s="5" t="inlineStr">
        <is>
          <t>3.300,00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=HYPERLINK("https://www.leilaoonline.com.br/lote/detalhe/292697", "10860")</f>
      </c>
      <c r="B24" s="4" t="s">
        <f>=HYPERLINK("https://www.leilaoonline.com.br/lote/detalhe/292697", "CARRETA TANQUE RANDON - ANO 2003 - FR92508. - (VENDA SEM DOCUMENTO) - LOC. JUNQUEIRA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=HYPERLINK("https://www.leilaoonline.com.br/lote/detalhe/292809", "11185")</f>
      </c>
      <c r="B25" s="4" t="s">
        <f>=HYPERLINK("https://www.leilaoonline.com.br/lote/detalhe/292809", " TURBINA A VAPOR EQUIPE TE-500-11-0 500CV - PAT.52800 - (TORRE ALPINA) - LOC. BOM RETIRO")</f>
      </c>
      <c r="C25" s="4" t="inlineStr">
        <is>
          <t>Não vendido</t>
        </is>
      </c>
      <c r="D25" s="4" t="inlineStr">
        <is>
          <t>4</t>
        </is>
      </c>
      <c r="E25" s="5" t="inlineStr">
        <is>
          <t>1.750,00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=HYPERLINK("https://www.leilaoonline.com.br/lote/detalhe/296347", "11504")</f>
      </c>
      <c r="B26" s="4" t="s">
        <f>=HYPERLINK("https://www.leilaoonline.com.br/lote/detalhe/296347", " PLANTADORA DE CANA ATA PCP 1102 - ANO 2017 - FR20311 - (APOIO) - LOC. COSTA PINTO")</f>
      </c>
      <c r="C26" s="4" t="inlineStr">
        <is>
          <t>Vendido</t>
        </is>
      </c>
      <c r="D26" s="4" t="inlineStr">
        <is>
          <t>4</t>
        </is>
      </c>
      <c r="E26" s="5" t="inlineStr">
        <is>
          <t>13.000,00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=HYPERLINK("https://www.leilaoonline.com.br/lote/detalhe/296344", "11510")</f>
      </c>
      <c r="B27" s="4" t="s">
        <f>=HYPERLINK("https://www.leilaoonline.com.br/lote/detalhe/296344", "CARRETA DIS. TORTA SPANDER; ANO 2011. - FR139990. - (PÁTIO DESINVESTIMENTO) - LOC. BOM RETIRO ")</f>
      </c>
      <c r="C27" s="4" t="inlineStr">
        <is>
          <t>Vendido</t>
        </is>
      </c>
      <c r="D27" s="4" t="inlineStr">
        <is>
          <t>3</t>
        </is>
      </c>
      <c r="E27" s="5" t="inlineStr">
        <is>
          <t>3.000,00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=HYPERLINK("https://www.leilaoonline.com.br/lote/detalhe/292724", "11638")</f>
      </c>
      <c r="B28" s="4" t="s">
        <f>=HYPERLINK("https://www.leilaoonline.com.br/lote/detalhe/292724", "CAMINHÃO SCANIA R113 E 6X4 360 - ANO 1993/1993 - BRANCO - FR120671. - (VENDA SOMENTE PARA COMPRADORES DO ESTADO DE SÃO PAULO) - LOC. JUNQUEIRA ")</f>
      </c>
      <c r="C28" s="4" t="inlineStr">
        <is>
          <t>Não vendido</t>
        </is>
      </c>
      <c r="D28" s="4" t="inlineStr">
        <is>
          <t>19</t>
        </is>
      </c>
      <c r="E28" s="5" t="inlineStr">
        <is>
          <t>33.000,00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=HYPERLINK("https://www.leilaoonline.com.br/lote/detalhe/296345", "11715")</f>
      </c>
      <c r="B29" s="4" t="s">
        <f>=HYPERLINK("https://www.leilaoonline.com.br/lote/detalhe/296345", "MOTO BOMBA OM 447 - A ; ANO 2010. - FR164907. - (DESINVESTIMENTO) - LOC. JATAI/ GO")</f>
      </c>
      <c r="C29" s="4" t="inlineStr">
        <is>
          <t>Vendido</t>
        </is>
      </c>
      <c r="D29" s="4" t="inlineStr">
        <is>
          <t>10</t>
        </is>
      </c>
      <c r="E29" s="5" t="inlineStr">
        <is>
          <t>7.500,00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=HYPERLINK("https://www.leilaoonline.com.br/lote/detalhe/292803", "12012")</f>
      </c>
      <c r="B30" s="4" t="s">
        <f>=HYPERLINK("https://www.leilaoonline.com.br/lote/detalhe/292803", " DOLLY RANDON; ANO 2008; (VENDA SEM DOCUMENTO). - FR4451562. - LOC. CAARAPÓ")</f>
      </c>
      <c r="C30" s="4" t="inlineStr">
        <is>
          <t>Vendido</t>
        </is>
      </c>
      <c r="D30" s="4" t="inlineStr">
        <is>
          <t>1</t>
        </is>
      </c>
      <c r="E30" s="5" t="inlineStr">
        <is>
          <t>5.250,00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=HYPERLINK("https://www.leilaoonline.com.br/lote/detalhe/293060", "12033")</f>
      </c>
      <c r="B31" s="4" t="s">
        <f>=HYPERLINK("https://www.leilaoonline.com.br/lote/detalhe/293060", " PLANTADORA DE CANA TMA 2 LINHAS; ANO 2014. - FR140033. - LOC. CAARAPÓ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=HYPERLINK("https://www.leilaoonline.com.br/lote/detalhe/292819", "12045")</f>
      </c>
      <c r="B32" s="4" t="s">
        <f>=HYPERLINK("https://www.leilaoonline.com.br/lote/detalhe/292819", " DOLLY RANDON; ANO 2009; (VENDA SEM DOCUMENTO). - FR4451600. - LOC. CARAAPÓ")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1.500,00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=HYPERLINK("https://www.leilaoonline.com.br/lote/detalhe/292862", "12061")</f>
      </c>
      <c r="B33" s="4" t="s">
        <f>=HYPERLINK("https://www.leilaoonline.com.br/lote/detalhe/292862", "TRANSBORDO TMA - ANO 2019 - FR11003815 - LOC. CAARAPÓ")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=HYPERLINK("https://www.leilaoonline.com.br/lote/detalhe/292868", "12063")</f>
      </c>
      <c r="B34" s="4" t="s">
        <f>=HYPERLINK("https://www.leilaoonline.com.br/lote/detalhe/292868", "LOTE CONTENDO: 1 DISTRIBUIDOR SOLLUS; 2 CULTIVADORES; E 2 SUBSOLADOR STARA. - ANO 2018/ 2019/  N/E/ N/E. - FR4445316/FR4445349/FR4445334/FR4445335/FR4445322. - LOC. CAARAPÓ")</f>
      </c>
      <c r="C34" s="4" t="inlineStr">
        <is>
          <t>Vendido</t>
        </is>
      </c>
      <c r="D34" s="4" t="inlineStr">
        <is>
          <t>44</t>
        </is>
      </c>
      <c r="E34" s="5" t="inlineStr">
        <is>
          <t>26.500,00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=HYPERLINK("https://www.leilaoonline.com.br/lote/detalhe/292867", "12065")</f>
      </c>
      <c r="B35" s="4" t="s">
        <f>=HYPERLINK("https://www.leilaoonline.com.br/lote/detalhe/292867", "LOTE CONTENDO: 1 DISTRIBUIDOR SOLLUS; 1 CULTIVADOR; 1 CHASSI MOTOBOMBA; 1 CULTIVADOR E 2 SULCADORES - ANOS: 2018/2017/2013/ N/E/2017. -  FR4445310/FR4445284/FR4435066/S/FR/S/FR/FR4435317. - LOC. CAARAPÓ")</f>
      </c>
      <c r="C35" s="4" t="inlineStr">
        <is>
          <t>Vendido</t>
        </is>
      </c>
      <c r="D35" s="4" t="inlineStr">
        <is>
          <t>43</t>
        </is>
      </c>
      <c r="E35" s="5" t="inlineStr">
        <is>
          <t>26.500,00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=HYPERLINK("https://www.leilaoonline.com.br/lote/detalhe/293061", "12077")</f>
      </c>
      <c r="B36" s="4" t="s">
        <f>=HYPERLINK("https://www.leilaoonline.com.br/lote/detalhe/293061", "PLANTADORA DE CANA TMA, ANO: 2020 - FR4445356 - LOC. CAARAPÓ")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=HYPERLINK("https://www.leilaoonline.com.br/lote/detalhe/293059", "12079")</f>
      </c>
      <c r="B37" s="4" t="s">
        <f>=HYPERLINK("https://www.leilaoonline.com.br/lote/detalhe/293059", "PLANTADORA DE CANA TMA, ANO: 2020 - FR4445355 - LOC. CAARAPÓ")</f>
      </c>
      <c r="C37" s="4" t="inlineStr">
        <is>
          <t>Vendido</t>
        </is>
      </c>
      <c r="D37" s="4" t="inlineStr">
        <is>
          <t>1</t>
        </is>
      </c>
      <c r="E37" s="5" t="inlineStr">
        <is>
          <t>10.000,00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=HYPERLINK("https://www.leilaoonline.com.br/lote/detalhe/292818", "34043")</f>
      </c>
      <c r="B38" s="4" t="s">
        <f>=HYPERLINK("https://www.leilaoonline.com.br/lote/detalhe/292818", "LOTE APROX. 25 COMPUTADORES  DE BORDO, 01 PILOTO AUTOMÁTICO, 09 RÁDIOS DE REPETIDORA. - (VEJA DESCRITIVO DE ITENS) - LOC. CAARAPÓ")</f>
      </c>
      <c r="C38" s="4" t="inlineStr">
        <is>
          <t>Vendido</t>
        </is>
      </c>
      <c r="D38" s="4" t="inlineStr">
        <is>
          <t>2</t>
        </is>
      </c>
      <c r="E38" s="5" t="inlineStr">
        <is>
          <t>2.500,00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=HYPERLINK("https://www.leilaoonline.com.br/lote/detalhe/295103", "34047")</f>
      </c>
      <c r="B39" s="4" t="s">
        <f>=HYPERLINK("https://www.leilaoonline.com.br/lote/detalhe/295103", "PENEIRA VIBRATÓRIA. - PT.170311. - LOC. CAARAPÓ")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3.000,00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=HYPERLINK("https://www.leilaoonline.com.br/lote/detalhe/293030", "34050")</f>
      </c>
      <c r="B40" s="4" t="s">
        <f>=HYPERLINK("https://www.leilaoonline.com.br/lote/detalhe/293030", "4 PARTES DE COLUNA DE DESTILAÇÃO B DIAMETRO 2,260 - COMPRIMENTO 4,33 - APROXIMADAMENTE 10 TON. - ANO 1981 - PAT-164286 - (VENDA POR KG) - (PÁTIO DE MATERIAIS INDÚSTRIAIS) - LOC. MARACAÍ")</f>
      </c>
      <c r="C40" s="4" t="inlineStr">
        <is>
          <t>Vendido</t>
        </is>
      </c>
      <c r="D40" s="4" t="inlineStr">
        <is>
          <t>34</t>
        </is>
      </c>
      <c r="E40" s="5" t="inlineStr">
        <is>
          <t>48.000,00</t>
        </is>
      </c>
      <c r="F40" s="4" t="inlineStr">
        <is>
          <t>0.10</t>
        </is>
      </c>
    </row>
    <row collapsed="false" customFormat="false" customHeight="false" hidden="false" ht="12.1" outlineLevel="0" r="41">
      <c r="A41" s="5" t="s">
        <f>=HYPERLINK("https://www.leilaoonline.com.br/lote/detalhe/293031", "34051")</f>
      </c>
      <c r="B41" s="4" t="s">
        <f>=HYPERLINK("https://www.leilaoonline.com.br/lote/detalhe/293031", "SUCATA DE INOX FERROSO - APROXIMADAMENTE 2 TON. - DIÂMETRO APROX. 5.30 M - (VENDA POR KG) - (PÁTIO DE MATERIAIS INDÚSTRIAIS) - LOC. MARACAÍ")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1,00</t>
        </is>
      </c>
      <c r="F41" s="4" t="inlineStr">
        <is>
          <t>0.10</t>
        </is>
      </c>
    </row>
    <row collapsed="false" customFormat="false" customHeight="false" hidden="false" ht="12.1" outlineLevel="0" r="42">
      <c r="A42" s="5" t="s">
        <f>=HYPERLINK("https://www.leilaoonline.com.br/lote/detalhe/293032", "34052")</f>
      </c>
      <c r="B42" s="4" t="s">
        <f>=HYPERLINK("https://www.leilaoonline.com.br/lote/detalhe/293032", "2 PNEUS MICHELIN 750 / 65 R26 - (PÁTIO DE MATERIAIS INDÚSTRIAIS) - LOC. MARACAÍ")</f>
      </c>
      <c r="C42" s="4" t="inlineStr">
        <is>
          <t>Vendido</t>
        </is>
      </c>
      <c r="D42" s="4" t="inlineStr">
        <is>
          <t>1</t>
        </is>
      </c>
      <c r="E42" s="5" t="inlineStr">
        <is>
          <t>250,00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=HYPERLINK("https://www.leilaoonline.com.br/lote/detalhe/293062", "34053")</f>
      </c>
      <c r="B43" s="4" t="s">
        <f>=HYPERLINK("https://www.leilaoonline.com.br/lote/detalhe/293062", "SUCATA DE RODETE - APROXIMADAMENTE 180.000 KG - (VENDA POR KG) - (PÁTIO MOENDA) - LOC. TARUMÃ")</f>
      </c>
      <c r="C43" s="4" t="inlineStr">
        <is>
          <t>Não vendido</t>
        </is>
      </c>
      <c r="D43" s="4" t="inlineStr">
        <is>
          <t>4</t>
        </is>
      </c>
      <c r="E43" s="5" t="inlineStr">
        <is>
          <t>270.000,00</t>
        </is>
      </c>
      <c r="F43" s="4" t="inlineStr">
        <is>
          <t>0.10</t>
        </is>
      </c>
    </row>
    <row collapsed="false" customFormat="false" customHeight="false" hidden="false" ht="12.1" outlineLevel="0" r="44">
      <c r="A44" s="5" t="s">
        <f>=HYPERLINK("https://www.leilaoonline.com.br/lote/detalhe/293323", "34054")</f>
      </c>
      <c r="B44" s="4" t="s">
        <f>=HYPERLINK("https://www.leilaoonline.com.br/lote/detalhe/293323", "LOTE DE SUCATA DE BORRACHA, SENDO APROX. 33 ROLOS DE BORRACHA E 7 ROLOS DE LONA DE FILTRO - (RODETES NÃO FAZEM PARTE DO LOTE) - (PÁTIO DESINVESTIMENTO) - LOC. SÃO FRANCISCO ")</f>
      </c>
      <c r="C44" s="4" t="inlineStr">
        <is>
          <t>Vendido</t>
        </is>
      </c>
      <c r="D44" s="4" t="inlineStr">
        <is>
          <t>7</t>
        </is>
      </c>
      <c r="E44" s="5" t="inlineStr">
        <is>
          <t>4.000,00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=HYPERLINK("https://www.leilaoonline.com.br/lote/detalhe/295813", "34055")</f>
      </c>
      <c r="B45" s="4" t="s">
        <f>=HYPERLINK("https://www.leilaoonline.com.br/lote/detalhe/295813", "SUCATAS DE EQUIPAMENTOS DE INFORMÁTICA - APROX. 718 NOTEBOOK, 21 DESKTOP E 2 MACBOOK - (VEJA DESCRITIVO DE ITENS) - LOC. CAR PIRACICABA")</f>
      </c>
      <c r="C45" s="4" t="inlineStr">
        <is>
          <t>Vendido</t>
        </is>
      </c>
      <c r="D45" s="4" t="inlineStr">
        <is>
          <t>185</t>
        </is>
      </c>
      <c r="E45" s="5" t="inlineStr">
        <is>
          <t>203.000,00</t>
        </is>
      </c>
      <c r="F45" s="4" t="inlineStr">
        <is>
          <t>2000.00</t>
        </is>
      </c>
    </row>
    <row collapsed="false" customFormat="false" customHeight="false" hidden="false" ht="12.1" outlineLevel="0" r="46">
      <c r="A46" s="5" t="s">
        <f>=HYPERLINK("https://www.leilaoonline.com.br/lote/detalhe/295996", "34056")</f>
      </c>
      <c r="B46" s="4" t="s">
        <f>=HYPERLINK("https://www.leilaoonline.com.br/lote/detalhe/295996", "TORNO MECANICO 5 M NARDINI MOD. NODUS TIPO ND-325 S; (Torno 2). - PT. 53452. - (AUTOMOTIVO) - LOC. SÃO FRANCISCO ")</f>
      </c>
      <c r="C46" s="4" t="inlineStr">
        <is>
          <t>Vendido</t>
        </is>
      </c>
      <c r="D46" s="4" t="inlineStr">
        <is>
          <t>77</t>
        </is>
      </c>
      <c r="E46" s="5" t="inlineStr">
        <is>
          <t>65.000,00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=HYPERLINK("https://www.leilaoonline.com.br/lote/detalhe/295997", "34057")</f>
      </c>
      <c r="B47" s="4" t="s">
        <f>=HYPERLINK("https://www.leilaoonline.com.br/lote/detalhe/295997", "TORNO MECANICO NARDINI (Torno 3). -S/FR. - (AUTOMOTIVO) - LOC. SÃO FRANCISCO ")</f>
      </c>
      <c r="C47" s="4" t="inlineStr">
        <is>
          <t>Vendido</t>
        </is>
      </c>
      <c r="D47" s="4" t="inlineStr">
        <is>
          <t>79</t>
        </is>
      </c>
      <c r="E47" s="5" t="inlineStr">
        <is>
          <t>66.500,00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=HYPERLINK("https://www.leilaoonline.com.br/lote/detalhe/296098", "34058")</f>
      </c>
      <c r="B48" s="4" t="s">
        <f>=HYPERLINK("https://www.leilaoonline.com.br/lote/detalhe/296098", "TORRE DE MONITORAMENTO. - S/FR. - (PÁTIO DE COMPOSTAGEM). - LOC. UNIVALEM ")</f>
      </c>
      <c r="C48" s="4" t="inlineStr">
        <is>
          <t>Vendido</t>
        </is>
      </c>
      <c r="D48" s="4" t="inlineStr">
        <is>
          <t>1</t>
        </is>
      </c>
      <c r="E48" s="5" t="inlineStr">
        <is>
          <t>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=HYPERLINK("https://www.leilaoonline.com.br/lote/detalhe/296240", "34059")</f>
      </c>
      <c r="B49" s="4" t="s">
        <f>=HYPERLINK("https://www.leilaoonline.com.br/lote/detalhe/296240", "LOTE CONTENDO APROX. 30 EQUIP. DE TECNOLOGIA OPERACIONAL (TO): (VEJA DESCRITIVO DE ITENS). - (ALMOXARIFADO) - LOC. COSTA PINTO ")</f>
      </c>
      <c r="C49" s="4" t="inlineStr">
        <is>
          <t>Vendido</t>
        </is>
      </c>
      <c r="D49" s="4" t="inlineStr">
        <is>
          <t>3</t>
        </is>
      </c>
      <c r="E49" s="5" t="inlineStr">
        <is>
          <t>2.500,00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=HYPERLINK("https://www.leilaoonline.com.br/lote/detalhe/296259", "34060")</f>
      </c>
      <c r="B50" s="4" t="s">
        <f>=HYPERLINK("https://www.leilaoonline.com.br/lote/detalhe/296259", "TRATOR VALTRA BT210; ANO 2016. - FR50845. - (AUTOMOTIVO) - LOC. SÃO FRANCISCO")</f>
      </c>
      <c r="C50" s="4" t="inlineStr">
        <is>
          <t>Vendido</t>
        </is>
      </c>
      <c r="D50" s="4" t="inlineStr">
        <is>
          <t>31</t>
        </is>
      </c>
      <c r="E50" s="5" t="inlineStr">
        <is>
          <t>140.000,00</t>
        </is>
      </c>
      <c r="F50" s="4" t="inlineStr">
        <is>
          <t>2000.00</t>
        </is>
      </c>
    </row>
    <row collapsed="false" customFormat="false" customHeight="false" hidden="false" ht="12.1" outlineLevel="0" r="51">
      <c r="A51" s="5" t="s">
        <f>=HYPERLINK("https://www.leilaoonline.com.br/lote/detalhe/296260", "34061")</f>
      </c>
      <c r="B51" s="4" t="s">
        <f>=HYPERLINK("https://www.leilaoonline.com.br/lote/detalhe/296260", "TRATOR VALTRA BT210; ANO 2016. - FR50849. - (AUTOMOTIVO) - LOC. SÃO FRANCISCO ")</f>
      </c>
      <c r="C51" s="4" t="inlineStr">
        <is>
          <t>Vendido</t>
        </is>
      </c>
      <c r="D51" s="4" t="inlineStr">
        <is>
          <t>35</t>
        </is>
      </c>
      <c r="E51" s="5" t="inlineStr">
        <is>
          <t>148.000,00</t>
        </is>
      </c>
      <c r="F51" s="4" t="inlineStr">
        <is>
          <t>2000.00</t>
        </is>
      </c>
    </row>
    <row collapsed="false" customFormat="false" customHeight="false" hidden="false" ht="12.1" outlineLevel="0" r="52">
      <c r="A52" s="5" t="s">
        <f>=HYPERLINK("https://www.leilaoonline.com.br/lote/detalhe/296262", "34062")</f>
      </c>
      <c r="B52" s="4" t="s">
        <f>=HYPERLINK("https://www.leilaoonline.com.br/lote/detalhe/296262", "LOTE CONTENDO APROX. 47 EQUIP. DE TECNOLOGIA OPERACIONAL  (TO) VEJA DESCRITIVO DE ITENS . - LOC. SÃO FRANCISCO")</f>
      </c>
      <c r="C52" s="4" t="inlineStr">
        <is>
          <t>Vendido</t>
        </is>
      </c>
      <c r="D52" s="4" t="inlineStr">
        <is>
          <t>1</t>
        </is>
      </c>
      <c r="E52" s="5" t="inlineStr">
        <is>
          <t>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=HYPERLINK("https://www.leilaoonline.com.br/lote/detalhe/296485", "34063")</f>
      </c>
      <c r="B53" s="4" t="s">
        <f>=HYPERLINK("https://www.leilaoonline.com.br/lote/detalhe/296485", "GERADOR MOTOR: DIESEL POTENCIA DE SAIDA: 260 KVA TENSAO NOMINAL:127/ 220 / 380 V PESO:1766 KG MEDIDAS (CXLXA):2,51 X 1,03 X 1,70 M FECHAMENTO: TRIFASICO CAPACIDADE DO TANQUE 457 LT. - LOC. RIO BRILHANTE ")</f>
      </c>
      <c r="C53" s="4" t="inlineStr">
        <is>
          <t>Vendido</t>
        </is>
      </c>
      <c r="D53" s="4" t="inlineStr">
        <is>
          <t>63</t>
        </is>
      </c>
      <c r="E53" s="5" t="inlineStr">
        <is>
          <t>34.250,00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=HYPERLINK("https://www.leilaoonline.com.br/lote/detalhe/295098", "35000")</f>
      </c>
      <c r="B54" s="4" t="s">
        <f>=HYPERLINK("https://www.leilaoonline.com.br/lote/detalhe/295098", "LOTE CONTENDO SUCATAS DE: 1 MOTOR CENTRÍFUGA AZUL, 1 MOTOR/GUINCHO, 1 BOMBA COM MOTOR, 2 VÁLVULAS, 3 MOTORES PEQUENOS, 50 CORPOS DE BOMBA NETZSCH E 1 TANQUE DE FIBRA - PAT.078527/250238 - LOC. IPAUSSU")</f>
      </c>
      <c r="C54" s="4" t="inlineStr">
        <is>
          <t>Vendido</t>
        </is>
      </c>
      <c r="D54" s="4" t="inlineStr">
        <is>
          <t>17</t>
        </is>
      </c>
      <c r="E54" s="5" t="inlineStr">
        <is>
          <t>5.000,00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=HYPERLINK("https://www.leilaoonline.com.br/lote/detalhe/292990", "35006")</f>
      </c>
      <c r="B55" s="4" t="s">
        <f>=HYPERLINK("https://www.leilaoonline.com.br/lote/detalhe/292990", "ELIMINADOR DE SOQUEIRA AGROMATÃO - ANO 2019 - FR48408 - LOC. IPAUSSU")</f>
      </c>
      <c r="C55" s="4" t="inlineStr">
        <is>
          <t>Vendido</t>
        </is>
      </c>
      <c r="D55" s="4" t="inlineStr">
        <is>
          <t>3</t>
        </is>
      </c>
      <c r="E55" s="5" t="inlineStr">
        <is>
          <t>3.000,00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=HYPERLINK("https://www.leilaoonline.com.br/lote/detalhe/292991", "35007")</f>
      </c>
      <c r="B56" s="4" t="s">
        <f>=HYPERLINK("https://www.leilaoonline.com.br/lote/detalhe/292991", "ELIMINADOR DE SOQUEIRA AGROMATÃO - ANO 2019 - FR48409 - LOC. IPAUSSU")</f>
      </c>
      <c r="C56" s="4" t="inlineStr">
        <is>
          <t>Vendido</t>
        </is>
      </c>
      <c r="D56" s="4" t="inlineStr">
        <is>
          <t>1</t>
        </is>
      </c>
      <c r="E56" s="5" t="inlineStr">
        <is>
          <t>2.000,00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=HYPERLINK("https://www.leilaoonline.com.br/lote/detalhe/292992", "35008")</f>
      </c>
      <c r="B57" s="4" t="s">
        <f>=HYPERLINK("https://www.leilaoonline.com.br/lote/detalhe/292992", "ELIMINADOR DE SOQUEIRA AGROMATÃO - ANO 2019 - FR48410 - LOC. IPAUSSU")</f>
      </c>
      <c r="C57" s="4" t="inlineStr">
        <is>
          <t>Vendido</t>
        </is>
      </c>
      <c r="D57" s="4" t="inlineStr">
        <is>
          <t>1</t>
        </is>
      </c>
      <c r="E57" s="5" t="inlineStr">
        <is>
          <t>2.000,00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=HYPERLINK("https://www.leilaoonline.com.br/lote/detalhe/292935", "35011")</f>
      </c>
      <c r="B58" s="4" t="s">
        <f>=HYPERLINK("https://www.leilaoonline.com.br/lote/detalhe/292935", "SUCATA DE PEÇAS PARA TRATOR CASE: 1 MOTOR, 2 TRANSMISSÕES, 1 CÂMBIO, 1 DIFERENCIAL MONTADO, 6 EIXOS, 1 MOTOR ATÉ 320, 3 PISTÕES E 1 GIRAFA - LOC. SANTA CÂNDIDA")</f>
      </c>
      <c r="C58" s="4" t="inlineStr">
        <is>
          <t>Vendido</t>
        </is>
      </c>
      <c r="D58" s="4" t="inlineStr">
        <is>
          <t>19</t>
        </is>
      </c>
      <c r="E58" s="5" t="inlineStr">
        <is>
          <t>11.000,00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=HYPERLINK("https://www.leilaoonline.com.br/lote/detalhe/292993", "35016")</f>
      </c>
      <c r="B59" s="4" t="s">
        <f>=HYPERLINK("https://www.leilaoonline.com.br/lote/detalhe/292993", "COLHEDORA JOHN DEERE CH670 2L - ANO 2016 -FR101506 - LOC. BARRA")</f>
      </c>
      <c r="C59" s="4" t="inlineStr">
        <is>
          <t>Não vendido</t>
        </is>
      </c>
      <c r="D59" s="4" t="inlineStr">
        <is>
          <t>31</t>
        </is>
      </c>
      <c r="E59" s="5" t="inlineStr">
        <is>
          <t>60.000,00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=HYPERLINK("https://www.leilaoonline.com.br/lote/detalhe/292805", "35017")</f>
      </c>
      <c r="B60" s="4" t="s">
        <f>=HYPERLINK("https://www.leilaoonline.com.br/lote/detalhe/292805", "COLHEDORA JOHN DEERE CH670 2L - ANO 2016 - FR101502 - LOC. BARRA")</f>
      </c>
      <c r="C60" s="4" t="inlineStr">
        <is>
          <t>Não vendido</t>
        </is>
      </c>
      <c r="D60" s="4" t="inlineStr">
        <is>
          <t>24</t>
        </is>
      </c>
      <c r="E60" s="5" t="inlineStr">
        <is>
          <t>58.000,00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=HYPERLINK("https://www.leilaoonline.com.br/lote/detalhe/292994", "35019")</f>
      </c>
      <c r="B61" s="4" t="s">
        <f>=HYPERLINK("https://www.leilaoonline.com.br/lote/detalhe/292994", "CAMINHÃO VOLKSWAGEN 13.180 EURO3 WORKER, ANO: 2009/2009 - BRANCO - (BAÚ) - (VENDA SEM MOTOR) - FR19665 - LOC. BARRA")</f>
      </c>
      <c r="C61" s="4" t="inlineStr">
        <is>
          <t>Vendido</t>
        </is>
      </c>
      <c r="D61" s="4" t="inlineStr">
        <is>
          <t>35</t>
        </is>
      </c>
      <c r="E61" s="5" t="inlineStr">
        <is>
          <t>49.000,00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=HYPERLINK("https://www.leilaoonline.com.br/lote/detalhe/293446", "35063")</f>
      </c>
      <c r="B62" s="4" t="s">
        <f>=HYPERLINK("https://www.leilaoonline.com.br/lote/detalhe/293446", "TRATOR MASSEY FERGUSSON 275 4X2 - ANO 1993 - FR71913 - LOC. DIAMANTE")</f>
      </c>
      <c r="C62" s="4" t="inlineStr">
        <is>
          <t>Vendido</t>
        </is>
      </c>
      <c r="D62" s="4" t="inlineStr">
        <is>
          <t>30</t>
        </is>
      </c>
      <c r="E62" s="5" t="inlineStr">
        <is>
          <t>54.000,00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=HYPERLINK("https://www.leilaoonline.com.br/lote/detalhe/293447", "35064")</f>
      </c>
      <c r="B63" s="4" t="s">
        <f>=HYPERLINK("https://www.leilaoonline.com.br/lote/detalhe/293447", "SUCATA DE MÓVEIS E UTENSÍLIO: 20 ARMÁRIOS, 15 MESAS, 30 CADEIRAS, 1 GELADEIRA, 3 FRIGOBARES, 2 TV'S, 10 MACAS E 1 PIA - LOC. DIAMANTE")</f>
      </c>
      <c r="C63" s="4" t="inlineStr">
        <is>
          <t>Vendido</t>
        </is>
      </c>
      <c r="D63" s="4" t="inlineStr">
        <is>
          <t>6</t>
        </is>
      </c>
      <c r="E63" s="5" t="inlineStr">
        <is>
          <t>1.750,00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=HYPERLINK("https://www.leilaoonline.com.br/lote/detalhe/293448", "35065")</f>
      </c>
      <c r="B64" s="4" t="s">
        <f>=HYPERLINK("https://www.leilaoonline.com.br/lote/detalhe/293448", "REBOQUE CONTIN - ANO 1985/1985 - AZUL - FR70172 - (SINISTRADO) - LOC. DIAMANTE  ")</f>
      </c>
      <c r="C64" s="4" t="inlineStr">
        <is>
          <t>Vendido</t>
        </is>
      </c>
      <c r="D64" s="4" t="inlineStr">
        <is>
          <t>12</t>
        </is>
      </c>
      <c r="E64" s="5" t="inlineStr">
        <is>
          <t>13.000,00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=HYPERLINK("https://www.leilaoonline.com.br/lote/detalhe/293449", "35066")</f>
      </c>
      <c r="B65" s="4" t="s">
        <f>=HYPERLINK("https://www.leilaoonline.com.br/lote/detalhe/293449", "TRATOR VALTRA BH210 - ANO 2014 - FR106657 - LOC. DIAMANTE   ")</f>
      </c>
      <c r="C65" s="4" t="inlineStr">
        <is>
          <t>Não vendido</t>
        </is>
      </c>
      <c r="D65" s="4" t="inlineStr">
        <is>
          <t>79</t>
        </is>
      </c>
      <c r="E65" s="5" t="inlineStr">
        <is>
          <t>118.000,00</t>
        </is>
      </c>
      <c r="F65" s="4" t="inlineStr">
        <is>
          <t>2000.00</t>
        </is>
      </c>
    </row>
    <row collapsed="false" customFormat="false" customHeight="false" hidden="false" ht="12.1" outlineLevel="0" r="66">
      <c r="A66" s="5" t="s">
        <f>=HYPERLINK("https://www.leilaoonline.com.br/lote/detalhe/293450", "35067")</f>
      </c>
      <c r="B66" s="4" t="s">
        <f>=HYPERLINK("https://www.leilaoonline.com.br/lote/detalhe/293450", "SUCATA DE TRATOR JOHN DEERE 8345R; E TANQUES DE PLÁSTICO - FR100757 - LOC. DIAMANTE   ")</f>
      </c>
      <c r="C66" s="4" t="inlineStr">
        <is>
          <t>Vendido</t>
        </is>
      </c>
      <c r="D66" s="4" t="inlineStr">
        <is>
          <t>26</t>
        </is>
      </c>
      <c r="E66" s="5" t="inlineStr">
        <is>
          <t>18.500,00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=HYPERLINK("https://www.leilaoonline.com.br/lote/detalhe/293451", "35068")</f>
      </c>
      <c r="B67" s="4" t="s">
        <f>=HYPERLINK("https://www.leilaoonline.com.br/lote/detalhe/293451", "LOTE DE SUCATA, CONTENDO: 3 ELEVADORES, 2 TRUCOS, 7 RODAS GUIA E 3 MOLAS - S/FR - LOC. DIAMANTE ")</f>
      </c>
      <c r="C67" s="4" t="inlineStr">
        <is>
          <t>Não vendido</t>
        </is>
      </c>
      <c r="D67" s="4" t="inlineStr">
        <is>
          <t>9</t>
        </is>
      </c>
      <c r="E67" s="5" t="inlineStr">
        <is>
          <t>4.000,00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=HYPERLINK("https://www.leilaoonline.com.br/lote/detalhe/293452", "35069")</f>
      </c>
      <c r="B68" s="4" t="s">
        <f>=HYPERLINK("https://www.leilaoonline.com.br/lote/detalhe/293452", "PLANTADORA ANTONIOSI ATA DT1102 - ANO 2018 - FR103060 - LOC. DIAMANTE   ")</f>
      </c>
      <c r="C68" s="4" t="inlineStr">
        <is>
          <t>Vendido</t>
        </is>
      </c>
      <c r="D68" s="4" t="inlineStr">
        <is>
          <t>1</t>
        </is>
      </c>
      <c r="E68" s="5" t="inlineStr">
        <is>
          <t>10.000,00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=HYPERLINK("https://www.leilaoonline.com.br/lote/detalhe/293453", "35070")</f>
      </c>
      <c r="B69" s="4" t="s">
        <f>=HYPERLINK("https://www.leilaoonline.com.br/lote/detalhe/293453", "PRENSA HIDRÁULICA 100 TON. - PAT.193938 - LOC. DIAMANTE ")</f>
      </c>
      <c r="C69" s="4" t="inlineStr">
        <is>
          <t>Vendido</t>
        </is>
      </c>
      <c r="D69" s="4" t="inlineStr">
        <is>
          <t>58</t>
        </is>
      </c>
      <c r="E69" s="5" t="inlineStr">
        <is>
          <t>17.000,00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=HYPERLINK("https://www.leilaoonline.com.br/lote/detalhe/293454", "35071")</f>
      </c>
      <c r="B70" s="4" t="s">
        <f>=HYPERLINK("https://www.leilaoonline.com.br/lote/detalhe/293454", "CALANDRA - PAT.193941 - LOC. DIAMANTE ")</f>
      </c>
      <c r="C70" s="4" t="inlineStr">
        <is>
          <t>Vendido</t>
        </is>
      </c>
      <c r="D70" s="4" t="inlineStr">
        <is>
          <t>26</t>
        </is>
      </c>
      <c r="E70" s="5" t="inlineStr">
        <is>
          <t>21.000,00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=HYPERLINK("https://www.leilaoonline.com.br/lote/detalhe/293455", "35072")</f>
      </c>
      <c r="B71" s="4" t="s">
        <f>=HYPERLINK("https://www.leilaoonline.com.br/lote/detalhe/293455", "3 SUCATAS DE VÁLVULAS - S/FR - LOC. PARAÍSO ")</f>
      </c>
      <c r="C71" s="4" t="inlineStr">
        <is>
          <t>Não vendido</t>
        </is>
      </c>
      <c r="D71" s="4" t="inlineStr">
        <is>
          <t>18</t>
        </is>
      </c>
      <c r="E71" s="5" t="inlineStr">
        <is>
          <t>2.200,00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=HYPERLINK("https://www.leilaoonline.com.br/lote/detalhe/293456", "35073")</f>
      </c>
      <c r="B72" s="4" t="s">
        <f>=HYPERLINK("https://www.leilaoonline.com.br/lote/detalhe/293456", "SUCATA CONTENDO: 4 PALETES DE PEÇAS AUTOMOTIVAS E 2 PALETES COM 8 RADIADORES - LOC. PARAÍSO ")</f>
      </c>
      <c r="C72" s="4" t="inlineStr">
        <is>
          <t>Vendido</t>
        </is>
      </c>
      <c r="D72" s="4" t="inlineStr">
        <is>
          <t>31</t>
        </is>
      </c>
      <c r="E72" s="5" t="inlineStr">
        <is>
          <t>7.350,00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=HYPERLINK("https://www.leilaoonline.com.br/lote/detalhe/293458", "35074")</f>
      </c>
      <c r="B73" s="4" t="s">
        <f>=HYPERLINK("https://www.leilaoonline.com.br/lote/detalhe/293458", "LOTE DE SUCATA DE INFORMÁTICA EM GERAL - (VEJA DESCRITIVO DE ITENS) - LOC. PARAÍSO ")</f>
      </c>
      <c r="C73" s="4" t="inlineStr">
        <is>
          <t>Vendido</t>
        </is>
      </c>
      <c r="D73" s="4" t="inlineStr">
        <is>
          <t>31</t>
        </is>
      </c>
      <c r="E73" s="5" t="inlineStr">
        <is>
          <t>4.400,00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=HYPERLINK("https://www.leilaoonline.com.br/lote/detalhe/293460", "35075")</f>
      </c>
      <c r="B74" s="4" t="s">
        <f>=HYPERLINK("https://www.leilaoonline.com.br/lote/detalhe/293460", "CARRETA DE TORTA ANTONIOSI DT1102 - ANO 2018 - FR20882 - LOC. SANTA CÂNDIDA  ")</f>
      </c>
      <c r="C74" s="4" t="inlineStr">
        <is>
          <t>Vendido</t>
        </is>
      </c>
      <c r="D74" s="4" t="inlineStr">
        <is>
          <t>3</t>
        </is>
      </c>
      <c r="E74" s="5" t="inlineStr">
        <is>
          <t>8.500,00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=HYPERLINK("https://www.leilaoonline.com.br/lote/detalhe/293486", "35077")</f>
      </c>
      <c r="B75" s="4" t="s">
        <f>=HYPERLINK("https://www.leilaoonline.com.br/lote/detalhe/293486", "TRATOR CASE MAGNUM 260 - ANO 2017 - FR20347 - LOC. SANTA CÂNDIDA  ")</f>
      </c>
      <c r="C75" s="4" t="inlineStr">
        <is>
          <t>Vendido</t>
        </is>
      </c>
      <c r="D75" s="4" t="inlineStr">
        <is>
          <t>8</t>
        </is>
      </c>
      <c r="E75" s="5" t="inlineStr">
        <is>
          <t>97.500,00</t>
        </is>
      </c>
      <c r="F75" s="4" t="inlineStr">
        <is>
          <t>2500.00</t>
        </is>
      </c>
    </row>
    <row collapsed="false" customFormat="false" customHeight="false" hidden="false" ht="12.1" outlineLevel="0" r="76">
      <c r="A76" s="5" t="s">
        <f>=HYPERLINK("https://www.leilaoonline.com.br/lote/detalhe/293487", "35078")</f>
      </c>
      <c r="B76" s="4" t="s">
        <f>=HYPERLINK("https://www.leilaoonline.com.br/lote/detalhe/293487", "TRATOR CASE MAGNUM 260 - ANO 2017 - FR188965 - LOC. SANTA CÂNDIDA ")</f>
      </c>
      <c r="C76" s="4" t="inlineStr">
        <is>
          <t>Vendido</t>
        </is>
      </c>
      <c r="D76" s="4" t="inlineStr">
        <is>
          <t>1</t>
        </is>
      </c>
      <c r="E76" s="5" t="inlineStr">
        <is>
          <t>80.000,00</t>
        </is>
      </c>
      <c r="F76" s="4" t="inlineStr">
        <is>
          <t>2500.00</t>
        </is>
      </c>
    </row>
    <row collapsed="false" customFormat="false" customHeight="false" hidden="false" ht="12.1" outlineLevel="0" r="77">
      <c r="A77" s="5" t="s">
        <f>=HYPERLINK("https://www.leilaoonline.com.br/lote/detalhe/293760", "35080")</f>
      </c>
      <c r="B77" s="4" t="s">
        <f>=HYPERLINK("https://www.leilaoonline.com.br/lote/detalhe/293760", "LOTE DE SUCATA, CONTENDO: 3 TANQUES DE APROX. 1000 LTS, 2 TANQUES DE CAMINHÃO, 3 TANQUES DE TRATOR, 2 BACIAS PLÁSTICAS, PESO/CARCAÇA DE TRATOR, CABINE DE COLHEDORA 3522, 1 CONJUNTO CX. INOX P/ PLANTADORA E 1 PALETE COM PEÇAS DE TRATOR CASE - LOC. SANTA CÂNDIDA ")</f>
      </c>
      <c r="C77" s="4" t="inlineStr">
        <is>
          <t>Vendido</t>
        </is>
      </c>
      <c r="D77" s="4" t="inlineStr">
        <is>
          <t>5</t>
        </is>
      </c>
      <c r="E77" s="5" t="inlineStr">
        <is>
          <t>3.000,00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=HYPERLINK("https://www.leilaoonline.com.br/lote/detalhe/293758", "35082")</f>
      </c>
      <c r="B78" s="4" t="s">
        <f>=HYPERLINK("https://www.leilaoonline.com.br/lote/detalhe/293758", "EQUIPAMENTOS DE LABORATÓRIO - (VEJA DESCRITIVO DE ITENS) - LOC. IPAUSSU   ")</f>
      </c>
      <c r="C78" s="4" t="inlineStr">
        <is>
          <t>Vendido</t>
        </is>
      </c>
      <c r="D78" s="4" t="inlineStr">
        <is>
          <t>2</t>
        </is>
      </c>
      <c r="E78" s="5" t="inlineStr">
        <is>
          <t>600,00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=HYPERLINK("https://www.leilaoonline.com.br/lote/detalhe/293756", "35083")</f>
      </c>
      <c r="B79" s="4" t="s">
        <f>=HYPERLINK("https://www.leilaoonline.com.br/lote/detalhe/293756", "TRATOR MASSEY FERGUSON 275 4X2 - ANO 1993 - FR49379 - (IMPLEMENTO MÁQUINA DE SOLDA NÃO FAZ PARTE DO LOTE) - LOC. IPAUSSU  ")</f>
      </c>
      <c r="C79" s="4" t="inlineStr">
        <is>
          <t>Vendido</t>
        </is>
      </c>
      <c r="D79" s="4" t="inlineStr">
        <is>
          <t>27</t>
        </is>
      </c>
      <c r="E79" s="5" t="inlineStr">
        <is>
          <t>54.000,00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=HYPERLINK("https://www.leilaoonline.com.br/lote/detalhe/293754", "35085")</f>
      </c>
      <c r="B80" s="4" t="s">
        <f>=HYPERLINK("https://www.leilaoonline.com.br/lote/detalhe/293754", "GRADE - PAT.103165 - LOC. IPAUSSU ")</f>
      </c>
      <c r="C80" s="4" t="inlineStr">
        <is>
          <t>Vendido</t>
        </is>
      </c>
      <c r="D80" s="4" t="inlineStr">
        <is>
          <t>24</t>
        </is>
      </c>
      <c r="E80" s="5" t="inlineStr">
        <is>
          <t>14.500,00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=HYPERLINK("https://www.leilaoonline.com.br/lote/detalhe/293753", "35086")</f>
      </c>
      <c r="B81" s="4" t="s">
        <f>=HYPERLINK("https://www.leilaoonline.com.br/lote/detalhe/293753", "GRADE - S/FR - LOC. IPAUSSU ")</f>
      </c>
      <c r="C81" s="4" t="inlineStr">
        <is>
          <t>Vendido</t>
        </is>
      </c>
      <c r="D81" s="4" t="inlineStr">
        <is>
          <t>16</t>
        </is>
      </c>
      <c r="E81" s="5" t="inlineStr">
        <is>
          <t>10.500,00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=HYPERLINK("https://www.leilaoonline.com.br/lote/detalhe/295151", "35087")</f>
      </c>
      <c r="B82" s="4" t="s">
        <f>=HYPERLINK("https://www.leilaoonline.com.br/lote/detalhe/295151", "LOTE DE SUCATA CONTENDO: 12 RADIADORES E 7 C/ INTERCOOLER - LOC. BARRA ")</f>
      </c>
      <c r="C82" s="4" t="inlineStr">
        <is>
          <t>Vendido</t>
        </is>
      </c>
      <c r="D82" s="4" t="inlineStr">
        <is>
          <t>6</t>
        </is>
      </c>
      <c r="E82" s="5" t="inlineStr">
        <is>
          <t>3.500,00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=HYPERLINK("https://www.leilaoonline.com.br/lote/detalhe/293752", "35088")</f>
      </c>
      <c r="B83" s="4" t="s">
        <f>=HYPERLINK("https://www.leilaoonline.com.br/lote/detalhe/293752", "LOTE DE SUCATA, CONTENDO: 16 PISTÕES, 7 SAPATAS, 1 CARDAM, 1 RESERVATÓRIO (BEXIGA), 1 FEIXE DE MOLA, 12 SUPORTES, 1 ESTEIRA, 1 CONTEINER COM MAGUEIRA, CARENAGENS E 2 TANQUES - LOC. BARRA ")</f>
      </c>
      <c r="C83" s="4" t="inlineStr">
        <is>
          <t>Vendido</t>
        </is>
      </c>
      <c r="D83" s="4" t="inlineStr">
        <is>
          <t>50</t>
        </is>
      </c>
      <c r="E83" s="5" t="inlineStr">
        <is>
          <t>26.500,00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=HYPERLINK("https://www.leilaoonline.com.br/lote/detalhe/293710", "35089")</f>
      </c>
      <c r="B84" s="4" t="s">
        <f>=HYPERLINK("https://www.leilaoonline.com.br/lote/detalhe/293710", "COLHEDORA JOHN DEERE CH670 2L - ANO 2016 - FR32240 - LOC. BARRA  ")</f>
      </c>
      <c r="C84" s="4" t="inlineStr">
        <is>
          <t>Não vendido</t>
        </is>
      </c>
      <c r="D84" s="4" t="inlineStr">
        <is>
          <t>21</t>
        </is>
      </c>
      <c r="E84" s="5" t="inlineStr">
        <is>
          <t>50.000,00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=HYPERLINK("https://www.leilaoonline.com.br/lote/detalhe/293708", "35090")</f>
      </c>
      <c r="B85" s="4" t="s">
        <f>=HYPERLINK("https://www.leilaoonline.com.br/lote/detalhe/293708", "COLHEDORA JOHN DEERE CH670 2L - ANO 2016 - FR72121 - LOC. BARRA")</f>
      </c>
      <c r="C85" s="4" t="inlineStr">
        <is>
          <t>Não vendido</t>
        </is>
      </c>
      <c r="D85" s="4" t="inlineStr">
        <is>
          <t>14</t>
        </is>
      </c>
      <c r="E85" s="5" t="inlineStr">
        <is>
          <t>57.000,00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=HYPERLINK("https://www.leilaoonline.com.br/lote/detalhe/293590", "35091")</f>
      </c>
      <c r="B86" s="4" t="s">
        <f>=HYPERLINK("https://www.leilaoonline.com.br/lote/detalhe/293590", "COLHEDORA JOHN DEERE CH670 2L - ANO 2016 - FR50154 - LOC. BARRA  ")</f>
      </c>
      <c r="C86" s="4" t="inlineStr">
        <is>
          <t>Não vendido</t>
        </is>
      </c>
      <c r="D86" s="4" t="inlineStr">
        <is>
          <t>35</t>
        </is>
      </c>
      <c r="E86" s="5" t="inlineStr">
        <is>
          <t>64.000,00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=HYPERLINK("https://www.leilaoonline.com.br/lote/detalhe/293589", "35092")</f>
      </c>
      <c r="B87" s="4" t="s">
        <f>=HYPERLINK("https://www.leilaoonline.com.br/lote/detalhe/293589", "CAMINHÃO VOLKSWAGEN 26.220 EURO3 WORKER - ANO  2010/2010 - BRANCO - FR96498/98644 - (TANQUE DE FIBRA) - LOC. BARRA")</f>
      </c>
      <c r="C87" s="4" t="inlineStr">
        <is>
          <t>Vendido</t>
        </is>
      </c>
      <c r="D87" s="4" t="inlineStr">
        <is>
          <t>120</t>
        </is>
      </c>
      <c r="E87" s="5" t="inlineStr">
        <is>
          <t>176.000,00</t>
        </is>
      </c>
      <c r="F87" s="4" t="inlineStr">
        <is>
          <t>2000.00</t>
        </is>
      </c>
    </row>
    <row collapsed="false" customFormat="false" customHeight="false" hidden="false" ht="12.1" outlineLevel="0" r="88">
      <c r="A88" s="5" t="s">
        <f>=HYPERLINK("https://www.leilaoonline.com.br/lote/detalhe/293588", "35093")</f>
      </c>
      <c r="B88" s="4" t="s">
        <f>=HYPERLINK("https://www.leilaoonline.com.br/lote/detalhe/293588", "TRATOR VALTRA BH210 - ANO 2014 - FR71885 - LOC. BARRA")</f>
      </c>
      <c r="C88" s="4" t="inlineStr">
        <is>
          <t>Não vendido</t>
        </is>
      </c>
      <c r="D88" s="4" t="inlineStr">
        <is>
          <t>78</t>
        </is>
      </c>
      <c r="E88" s="5" t="inlineStr">
        <is>
          <t>107.500,00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=HYPERLINK("https://www.leilaoonline.com.br/lote/detalhe/293587", "35094")</f>
      </c>
      <c r="B89" s="4" t="s">
        <f>=HYPERLINK("https://www.leilaoonline.com.br/lote/detalhe/293587", "CAMINHÃO MERCEDES BENZ ATEGO 2730K 6X4CE - ANO 2017/2018 - BRANCO - (QUEIMADO) - (TANQUE DE AÇO) - (VENDA SEM DOCUMENTO) - LOC. BARRA")</f>
      </c>
      <c r="C89" s="4" t="inlineStr">
        <is>
          <t>Vendido</t>
        </is>
      </c>
      <c r="D89" s="4" t="inlineStr">
        <is>
          <t>42</t>
        </is>
      </c>
      <c r="E89" s="5" t="inlineStr">
        <is>
          <t>70.000,00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=HYPERLINK("https://www.leilaoonline.com.br/lote/detalhe/293586", "35095")</f>
      </c>
      <c r="B90" s="4" t="s">
        <f>=HYPERLINK("https://www.leilaoonline.com.br/lote/detalhe/293586", "REBOQUE FACCHINI RFRBC - ANO 1992/1992 - AZUL - FR96164 - (TRANSBORDO) - LOC. BARRA")</f>
      </c>
      <c r="C90" s="4" t="inlineStr">
        <is>
          <t>Vendido</t>
        </is>
      </c>
      <c r="D90" s="4" t="inlineStr">
        <is>
          <t>13</t>
        </is>
      </c>
      <c r="E90" s="5" t="inlineStr">
        <is>
          <t>23.000,00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=HYPERLINK("https://www.leilaoonline.com.br/lote/detalhe/293585", "35096")</f>
      </c>
      <c r="B91" s="4" t="s">
        <f>=HYPERLINK("https://www.leilaoonline.com.br/lote/detalhe/293585", "REBOQUE ANTONINI - ANO 1996/1996 - AZUL - FR96138 - (TRANSBORDO) - LOC. BARRA")</f>
      </c>
      <c r="C91" s="4" t="inlineStr">
        <is>
          <t>Vendido</t>
        </is>
      </c>
      <c r="D91" s="4" t="inlineStr">
        <is>
          <t>45</t>
        </is>
      </c>
      <c r="E91" s="5" t="inlineStr">
        <is>
          <t>54.000,00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=HYPERLINK("https://www.leilaoonline.com.br/lote/detalhe/293584", "35097")</f>
      </c>
      <c r="B92" s="4" t="s">
        <f>=HYPERLINK("https://www.leilaoonline.com.br/lote/detalhe/293584", "REBOQUE FACCHINI RFRBC - ANO 1992/1992 - AZUL - FR95566 - (TRANSBORDO) - LOC. BARRA ")</f>
      </c>
      <c r="C92" s="4" t="inlineStr">
        <is>
          <t>Vendido</t>
        </is>
      </c>
      <c r="D92" s="4" t="inlineStr">
        <is>
          <t>39</t>
        </is>
      </c>
      <c r="E92" s="5" t="inlineStr">
        <is>
          <t>49.000,00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=HYPERLINK("https://www.leilaoonline.com.br/lote/detalhe/293002", "35098")</f>
      </c>
      <c r="B93" s="4" t="s">
        <f>=HYPERLINK("https://www.leilaoonline.com.br/lote/detalhe/293002", "CAMINHÃO VOLKSWAGEN 15.180 EURO3 WORKER - ANO 2010/2010 - BRANCO - (BAÚ COM BEXIGA E ARMÁRIO DE AÇO) - (VENDA SEM MOTOR/ CÂMBIO/ OUTROS) - FR96601/98634 - LOC. BARRA ")</f>
      </c>
      <c r="C93" s="4" t="inlineStr">
        <is>
          <t>Vendido</t>
        </is>
      </c>
      <c r="D93" s="4" t="inlineStr">
        <is>
          <t>26</t>
        </is>
      </c>
      <c r="E93" s="5" t="inlineStr">
        <is>
          <t>40.000,00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=HYPERLINK("https://www.leilaoonline.com.br/lote/detalhe/293028", "35099")</f>
      </c>
      <c r="B94" s="4" t="s">
        <f>=HYPERLINK("https://www.leilaoonline.com.br/lote/detalhe/293028", "SUCATA DE MOTOR E RADIADOR DO VOLKSWAGEN 13.180 - LOC. BARRA")</f>
      </c>
      <c r="C94" s="4" t="inlineStr">
        <is>
          <t>Vendido</t>
        </is>
      </c>
      <c r="D94" s="4" t="inlineStr">
        <is>
          <t>59</t>
        </is>
      </c>
      <c r="E94" s="5" t="inlineStr">
        <is>
          <t>23.700,00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=HYPERLINK("https://www.leilaoonline.com.br/lote/detalhe/293027", "35100")</f>
      </c>
      <c r="B95" s="4" t="s">
        <f>=HYPERLINK("https://www.leilaoonline.com.br/lote/detalhe/293027", "LOTE CONTENDO: 1 BAÚ, 1 RADIADOR, 1 TANQUE DE COMBUSTÍVEL, 1 RESERVATÓRIO (BEXIGA), 1 CORRENTE, 1 PARA-CHOQUE, 6 RELHAS, 1 DISCO CROMO, 1 BOMBA JACTO, 1 EIXO HID. CASE - LOC. BARRA")</f>
      </c>
      <c r="C95" s="4" t="inlineStr">
        <is>
          <t>Vendido</t>
        </is>
      </c>
      <c r="D95" s="4" t="inlineStr">
        <is>
          <t>15</t>
        </is>
      </c>
      <c r="E95" s="5" t="inlineStr">
        <is>
          <t>4.000,00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=HYPERLINK("https://www.leilaoonline.com.br/lote/detalhe/293026", "35101")</f>
      </c>
      <c r="B96" s="4" t="s">
        <f>=HYPERLINK("https://www.leilaoonline.com.br/lote/detalhe/293026", "REBOQUE RANDON SP RQ CA - ANO, 2010/2010 - AZUL - FR93635 - LOC. BARRA")</f>
      </c>
      <c r="C96" s="4" t="inlineStr">
        <is>
          <t>Vendido</t>
        </is>
      </c>
      <c r="D96" s="4" t="inlineStr">
        <is>
          <t>27</t>
        </is>
      </c>
      <c r="E96" s="5" t="inlineStr">
        <is>
          <t>45.000,00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=HYPERLINK("https://www.leilaoonline.com.br/lote/detalhe/293025", "35102")</f>
      </c>
      <c r="B97" s="4" t="s">
        <f>=HYPERLINK("https://www.leilaoonline.com.br/lote/detalhe/293025", "SULCADOR CIVEMASA - PAT.103196 - LOC. BARRA")</f>
      </c>
      <c r="C97" s="4" t="inlineStr">
        <is>
          <t>Vendido</t>
        </is>
      </c>
      <c r="D97" s="4" t="inlineStr">
        <is>
          <t>19</t>
        </is>
      </c>
      <c r="E97" s="5" t="inlineStr">
        <is>
          <t>5.500,00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=HYPERLINK("https://www.leilaoonline.com.br/lote/detalhe/293024", "35103")</f>
      </c>
      <c r="B98" s="4" t="s">
        <f>=HYPERLINK("https://www.leilaoonline.com.br/lote/detalhe/293024", "SULCADOR DMB - PAT.103197 - LOC. BARRA")</f>
      </c>
      <c r="C98" s="4" t="inlineStr">
        <is>
          <t>Não vendido</t>
        </is>
      </c>
      <c r="D98" s="4" t="inlineStr">
        <is>
          <t>20</t>
        </is>
      </c>
      <c r="E98" s="5" t="inlineStr">
        <is>
          <t>5.750,00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=HYPERLINK("https://www.leilaoonline.com.br/lote/detalhe/293013", "35104")</f>
      </c>
      <c r="B99" s="4" t="s">
        <f>=HYPERLINK("https://www.leilaoonline.com.br/lote/detalhe/293013", "SULCADOR AGROMATÃO - ANO 2021 - FR74905 - LOC. BARRA")</f>
      </c>
      <c r="C99" s="4" t="inlineStr">
        <is>
          <t>Vendido</t>
        </is>
      </c>
      <c r="D99" s="4" t="inlineStr">
        <is>
          <t>10</t>
        </is>
      </c>
      <c r="E99" s="5" t="inlineStr">
        <is>
          <t>3.250,00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=HYPERLINK("https://www.leilaoonline.com.br/lote/detalhe/293011", "35105")</f>
      </c>
      <c r="B100" s="4" t="s">
        <f>=HYPERLINK("https://www.leilaoonline.com.br/lote/detalhe/293011", "COBRIDOR CIVEMASA - PAT.103480 - LOC. BARRA")</f>
      </c>
      <c r="C100" s="4" t="inlineStr">
        <is>
          <t>Vendido</t>
        </is>
      </c>
      <c r="D100" s="4" t="inlineStr">
        <is>
          <t>12</t>
        </is>
      </c>
      <c r="E100" s="5" t="inlineStr">
        <is>
          <t>3.750,00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=HYPERLINK("https://www.leilaoonline.com.br/lote/detalhe/293012", "35106")</f>
      </c>
      <c r="B101" s="4" t="s">
        <f>=HYPERLINK("https://www.leilaoonline.com.br/lote/detalhe/293012", "COBRIDOR CIVEMASA - PAT.103199 - LOC. BARRA")</f>
      </c>
      <c r="C101" s="4" t="inlineStr">
        <is>
          <t>Vendido</t>
        </is>
      </c>
      <c r="D101" s="4" t="inlineStr">
        <is>
          <t>22</t>
        </is>
      </c>
      <c r="E101" s="5" t="inlineStr">
        <is>
          <t>6.500,00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=HYPERLINK("https://www.leilaoonline.com.br/lote/detalhe/293010", "35107")</f>
      </c>
      <c r="B102" s="4" t="s">
        <f>=HYPERLINK("https://www.leilaoonline.com.br/lote/detalhe/293010", "COBRIDOR CIVEMASA - PAT.134136 - LOC. BARRA")</f>
      </c>
      <c r="C102" s="4" t="inlineStr">
        <is>
          <t>Vendido</t>
        </is>
      </c>
      <c r="D102" s="4" t="inlineStr">
        <is>
          <t>15</t>
        </is>
      </c>
      <c r="E102" s="5" t="inlineStr">
        <is>
          <t>3.800,00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=HYPERLINK("https://www.leilaoonline.com.br/lote/detalhe/293009", "35108")</f>
      </c>
      <c r="B103" s="4" t="s">
        <f>=HYPERLINK("https://www.leilaoonline.com.br/lote/detalhe/293009", "SEMI REBOQUE RODOLINEA RODOTQ 2E, ANO 2009/2009 - AZUL - (TANQUE DE FIBRA) - FR91871 - LOC. BARRA")</f>
      </c>
      <c r="C103" s="4" t="inlineStr">
        <is>
          <t>Não vendido</t>
        </is>
      </c>
      <c r="D103" s="4" t="inlineStr">
        <is>
          <t>47</t>
        </is>
      </c>
      <c r="E103" s="5" t="inlineStr">
        <is>
          <t>61.000,00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=HYPERLINK("https://www.leilaoonline.com.br/lote/detalhe/293007", "35109")</f>
      </c>
      <c r="B104" s="4" t="s">
        <f>=HYPERLINK("https://www.leilaoonline.com.br/lote/detalhe/293007", "TRANSBORDO CIVEMASA TAC 10500 - ANO 2009 - FR513043 - LOC. BARRA")</f>
      </c>
      <c r="C104" s="4" t="inlineStr">
        <is>
          <t>Vendido</t>
        </is>
      </c>
      <c r="D104" s="4" t="inlineStr">
        <is>
          <t>11</t>
        </is>
      </c>
      <c r="E104" s="5" t="inlineStr">
        <is>
          <t>20.000,00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=HYPERLINK("https://www.leilaoonline.com.br/lote/detalhe/293008", "35110")</f>
      </c>
      <c r="B105" s="4" t="s">
        <f>=HYPERLINK("https://www.leilaoonline.com.br/lote/detalhe/293008", "TRANSBORDO CIVEMASA 10T - ANO 2009 - FR1003018 - LOC. BARRA")</f>
      </c>
      <c r="C105" s="4" t="inlineStr">
        <is>
          <t>Vendido</t>
        </is>
      </c>
      <c r="D105" s="4" t="inlineStr">
        <is>
          <t>15</t>
        </is>
      </c>
      <c r="E105" s="5" t="inlineStr">
        <is>
          <t>24.000,00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=HYPERLINK("https://www.leilaoonline.com.br/lote/detalhe/293005", "35111")</f>
      </c>
      <c r="B106" s="4" t="s">
        <f>=HYPERLINK("https://www.leilaoonline.com.br/lote/detalhe/293005", "CARRETINHA FABRICAÇÃO PRÓPRIA - S/FR - (VENDA SEM DOCUMENTO) - LOC. BARRA")</f>
      </c>
      <c r="C106" s="4" t="inlineStr">
        <is>
          <t>Vendido</t>
        </is>
      </c>
      <c r="D106" s="4" t="inlineStr">
        <is>
          <t>3</t>
        </is>
      </c>
      <c r="E106" s="5" t="inlineStr">
        <is>
          <t>2.500,00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=HYPERLINK("https://www.leilaoonline.com.br/lote/detalhe/293006", "35112")</f>
      </c>
      <c r="B107" s="4" t="s">
        <f>=HYPERLINK("https://www.leilaoonline.com.br/lote/detalhe/293006", "CARRETA TANQUE PULVERIZADORA - PAT.103516 - LOC. BARRA")</f>
      </c>
      <c r="C107" s="4" t="inlineStr">
        <is>
          <t>Vendido</t>
        </is>
      </c>
      <c r="D107" s="4" t="inlineStr">
        <is>
          <t>8</t>
        </is>
      </c>
      <c r="E107" s="5" t="inlineStr">
        <is>
          <t>3.750,00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=HYPERLINK("https://www.leilaoonline.com.br/lote/detalhe/293004", "35113")</f>
      </c>
      <c r="B108" s="4" t="s">
        <f>=HYPERLINK("https://www.leilaoonline.com.br/lote/detalhe/293004", "TRATOR ANTIGO - S/FR – SEM CHASSI/ SEM INFORMAÇÃO - LOC. BARRA")</f>
      </c>
      <c r="C108" s="4" t="inlineStr">
        <is>
          <t>Vendido</t>
        </is>
      </c>
      <c r="D108" s="4" t="inlineStr">
        <is>
          <t>26</t>
        </is>
      </c>
      <c r="E108" s="5" t="inlineStr">
        <is>
          <t>23.500,00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=HYPERLINK("https://www.leilaoonline.com.br/lote/detalhe/293003", "35114")</f>
      </c>
      <c r="B109" s="4" t="s">
        <f>=HYPERLINK("https://www.leilaoonline.com.br/lote/detalhe/293003", "TRANSBORDO ANTONIOSI ATA 10500 - ANO 2010 - FR101992 - LOC. BARRA")</f>
      </c>
      <c r="C109" s="4" t="inlineStr">
        <is>
          <t>Não vendido</t>
        </is>
      </c>
      <c r="D109" s="4" t="inlineStr">
        <is>
          <t>12</t>
        </is>
      </c>
      <c r="E109" s="5" t="inlineStr">
        <is>
          <t>21.000,00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=HYPERLINK("https://www.leilaoonline.com.br/lote/detalhe/293001", "35117")</f>
      </c>
      <c r="B110" s="4" t="s">
        <f>=HYPERLINK("https://www.leilaoonline.com.br/lote/detalhe/293001", "LOTE CONTENDO: 4 PRATELEIRAS, 2 BALCÕES E 2 GELADEIRAS PARA COZINHA INDUSTRIAL - LOC. TAMOIO ")</f>
      </c>
      <c r="C110" s="4" t="inlineStr">
        <is>
          <t>Vendido</t>
        </is>
      </c>
      <c r="D110" s="4" t="inlineStr">
        <is>
          <t>22</t>
        </is>
      </c>
      <c r="E110" s="5" t="inlineStr">
        <is>
          <t>5.750,00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=HYPERLINK("https://www.leilaoonline.com.br/lote/detalhe/293324", "35118")</f>
      </c>
      <c r="B111" s="4" t="s">
        <f>=HYPERLINK("https://www.leilaoonline.com.br/lote/detalhe/293324", "HIDRO ROLL METALMAG - ANO 2001 - FR92585 - LOC. ZANIN")</f>
      </c>
      <c r="C111" s="4" t="inlineStr">
        <is>
          <t>Vendido</t>
        </is>
      </c>
      <c r="D111" s="4" t="inlineStr">
        <is>
          <t>1</t>
        </is>
      </c>
      <c r="E111" s="5" t="inlineStr">
        <is>
          <t>1.000,00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=HYPERLINK("https://www.leilaoonline.com.br/lote/detalhe/293325", "35119")</f>
      </c>
      <c r="B112" s="4" t="s">
        <f>=HYPERLINK("https://www.leilaoonline.com.br/lote/detalhe/293325", "MOTO BOMBA OM 352 - ANO 1985 - FR360883 - LOC. ZANIN ")</f>
      </c>
      <c r="C112" s="4" t="inlineStr">
        <is>
          <t>Vendido</t>
        </is>
      </c>
      <c r="D112" s="4" t="inlineStr">
        <is>
          <t>24</t>
        </is>
      </c>
      <c r="E112" s="5" t="inlineStr">
        <is>
          <t>15.000,00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=HYPERLINK("https://www.leilaoonline.com.br/lote/detalhe/293331", "35120")</f>
      </c>
      <c r="B113" s="4" t="s">
        <f>=HYPERLINK("https://www.leilaoonline.com.br/lote/detalhe/293331", "SEMI REBOQUE SR/SOUFER CFE 2E - ANO 2012/2012 - CINZA - FR121500 - (ÁREA DE VIVÊNCIA) ‎- LOC. ZANIN")</f>
      </c>
      <c r="C113" s="4" t="inlineStr">
        <is>
          <t>Vendido</t>
        </is>
      </c>
      <c r="D113" s="4" t="inlineStr">
        <is>
          <t>3</t>
        </is>
      </c>
      <c r="E113" s="5" t="inlineStr">
        <is>
          <t>8.500,00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=HYPERLINK("https://www.leilaoonline.com.br/lote/detalhe/293332", "35121")</f>
      </c>
      <c r="B114" s="4" t="s">
        <f>=HYPERLINK("https://www.leilaoonline.com.br/lote/detalhe/293332", "SEMI REBOQUE SR/SOUFER CFE 2E - ANO 2012/2012 - CINZA - FR139422 - (ÁREA DE VIVÊNCIA) - LOC. ZANIN ")</f>
      </c>
      <c r="C114" s="4" t="inlineStr">
        <is>
          <t>Não vendido</t>
        </is>
      </c>
      <c r="D114" s="4" t="inlineStr">
        <is>
          <t>18</t>
        </is>
      </c>
      <c r="E114" s="5" t="inlineStr">
        <is>
          <t>17.000,00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=HYPERLINK("https://www.leilaoonline.com.br/lote/detalhe/293333", "35122")</f>
      </c>
      <c r="B115" s="4" t="s">
        <f>=HYPERLINK("https://www.leilaoonline.com.br/lote/detalhe/293333", "SEMI REBOQUE SR/SOUFER CFE 2E - ANO 2012/2012 - CINZA - FR 121498 - (ÁREA DE VIVÊNCIA) - LOC. ZANIN")</f>
      </c>
      <c r="C115" s="4" t="inlineStr">
        <is>
          <t>Vendido</t>
        </is>
      </c>
      <c r="D115" s="4" t="inlineStr">
        <is>
          <t>16</t>
        </is>
      </c>
      <c r="E115" s="5" t="inlineStr">
        <is>
          <t>15.000,00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=HYPERLINK("https://www.leilaoonline.com.br/lote/detalhe/293335", "35124")</f>
      </c>
      <c r="B116" s="4" t="s">
        <f>=HYPERLINK("https://www.leilaoonline.com.br/lote/detalhe/293335", "REBOQUE R/SERNAUTO 001 - ANO 2014/2014 - AZUL - FR361700 - (ÁREA DE VIVÊNCIA) - LOC. ZANIN")</f>
      </c>
      <c r="C116" s="4" t="inlineStr">
        <is>
          <t>Vendido</t>
        </is>
      </c>
      <c r="D116" s="4" t="inlineStr">
        <is>
          <t>4</t>
        </is>
      </c>
      <c r="E116" s="5" t="inlineStr">
        <is>
          <t>9.000,00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=HYPERLINK("https://www.leilaoonline.com.br/lote/detalhe/293326", "35125")</f>
      </c>
      <c r="B117" s="4" t="s">
        <f>=HYPERLINK("https://www.leilaoonline.com.br/lote/detalhe/293326", "3 COBRIDORES - FR361224/361225/361227 - LOC. ZANIN")</f>
      </c>
      <c r="C117" s="4" t="inlineStr">
        <is>
          <t>Não vendido</t>
        </is>
      </c>
      <c r="D117" s="4" t="inlineStr">
        <is>
          <t>23</t>
        </is>
      </c>
      <c r="E117" s="5" t="inlineStr">
        <is>
          <t>9.250,00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=HYPERLINK("https://www.leilaoonline.com.br/lote/detalhe/293328", "35126")</f>
      </c>
      <c r="B118" s="4" t="s">
        <f>=HYPERLINK("https://www.leilaoonline.com.br/lote/detalhe/293328", "ENXADA ROTATIVA - ANO 2014 - FR122373 - LOC. ZANIN")</f>
      </c>
      <c r="C118" s="4" t="inlineStr">
        <is>
          <t>Vendido</t>
        </is>
      </c>
      <c r="D118" s="4" t="inlineStr">
        <is>
          <t>1</t>
        </is>
      </c>
      <c r="E118" s="5" t="inlineStr">
        <is>
          <t>3.000,00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=HYPERLINK("https://www.leilaoonline.com.br/lote/detalhe/293329", "35127")</f>
      </c>
      <c r="B119" s="4" t="s">
        <f>=HYPERLINK("https://www.leilaoonline.com.br/lote/detalhe/293329", "ENXADA ROTATIVA - ANO 2014 - FR90959 - LOC. ZANIN ")</f>
      </c>
      <c r="C119" s="4" t="inlineStr">
        <is>
          <t>Vendido</t>
        </is>
      </c>
      <c r="D119" s="4" t="inlineStr">
        <is>
          <t>1</t>
        </is>
      </c>
      <c r="E119" s="5" t="inlineStr">
        <is>
          <t>3.000,00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=HYPERLINK("https://www.leilaoonline.com.br/lote/detalhe/293330", "35128")</f>
      </c>
      <c r="B120" s="4" t="s">
        <f>=HYPERLINK("https://www.leilaoonline.com.br/lote/detalhe/293330", "GRADE INTERMEDIARIA - ANO 2001 - FR361003 - LOC. ZANIN ")</f>
      </c>
      <c r="C120" s="4" t="inlineStr">
        <is>
          <t>Vendido</t>
        </is>
      </c>
      <c r="D120" s="4" t="inlineStr">
        <is>
          <t>8</t>
        </is>
      </c>
      <c r="E120" s="5" t="inlineStr">
        <is>
          <t>4.250,00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=HYPERLINK("https://www.leilaoonline.com.br/lote/detalhe/293327", "35129")</f>
      </c>
      <c r="B121" s="4" t="s">
        <f>=HYPERLINK("https://www.leilaoonline.com.br/lote/detalhe/293327", "2 SULCADORES CIVEMASA - ANO 2019 - FR361228/361229 - LOC. ZANIN")</f>
      </c>
      <c r="C121" s="4" t="inlineStr">
        <is>
          <t>Vendido</t>
        </is>
      </c>
      <c r="D121" s="4" t="inlineStr">
        <is>
          <t>16</t>
        </is>
      </c>
      <c r="E121" s="5" t="inlineStr">
        <is>
          <t>5.750,00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=HYPERLINK("https://www.leilaoonline.com.br/lote/detalhe/293336", "35130")</f>
      </c>
      <c r="B122" s="4" t="s">
        <f>=HYPERLINK("https://www.leilaoonline.com.br/lote/detalhe/293336", "CAMINHÃO VOLKSWAGEN 31.320 CNC 6X4, ANO 2011/2012 - BRANCO - FR22329 - (CARROCERIA TRANSBORDO) - LOC. ZANIN")</f>
      </c>
      <c r="C122" s="4" t="inlineStr">
        <is>
          <t>Não vendido</t>
        </is>
      </c>
      <c r="D122" s="4" t="inlineStr">
        <is>
          <t>57</t>
        </is>
      </c>
      <c r="E122" s="5" t="inlineStr">
        <is>
          <t>194.000,00</t>
        </is>
      </c>
      <c r="F122" s="4" t="inlineStr">
        <is>
          <t>2000.00</t>
        </is>
      </c>
    </row>
    <row collapsed="false" customFormat="false" customHeight="false" hidden="false" ht="12.1" outlineLevel="0" r="123">
      <c r="A123" s="5" t="s">
        <f>=HYPERLINK("https://www.leilaoonline.com.br/lote/detalhe/293337", "35131")</f>
      </c>
      <c r="B123" s="4" t="s">
        <f>=HYPERLINK("https://www.leilaoonline.com.br/lote/detalhe/293337", "CAMINHÃO MERCEDES BENZ AXOR 3344S 6X4 - ANO 2014/2014 - BRANCO - FR362071 - LOC. ZANIN")</f>
      </c>
      <c r="C123" s="4" t="inlineStr">
        <is>
          <t>Vendido</t>
        </is>
      </c>
      <c r="D123" s="4" t="inlineStr">
        <is>
          <t>124</t>
        </is>
      </c>
      <c r="E123" s="5" t="inlineStr">
        <is>
          <t>194.000,00</t>
        </is>
      </c>
      <c r="F123" s="4" t="inlineStr">
        <is>
          <t>2000.00</t>
        </is>
      </c>
    </row>
    <row collapsed="false" customFormat="false" customHeight="false" hidden="false" ht="12.1" outlineLevel="0" r="124">
      <c r="A124" s="5" t="s">
        <f>=HYPERLINK("https://www.leilaoonline.com.br/lote/detalhe/293401", "35132")</f>
      </c>
      <c r="B124" s="4" t="s">
        <f>=HYPERLINK("https://www.leilaoonline.com.br/lote/detalhe/293401", "SEMI REBOQUE RANDON SP SRCA CA - ANO 2012/2013 - CINZA - FR121579 - LOC. ZANIN")</f>
      </c>
      <c r="C124" s="4" t="inlineStr">
        <is>
          <t>Não vendido</t>
        </is>
      </c>
      <c r="D124" s="4" t="inlineStr">
        <is>
          <t>46</t>
        </is>
      </c>
      <c r="E124" s="5" t="inlineStr">
        <is>
          <t>68.000,00</t>
        </is>
      </c>
      <c r="F124" s="4" t="inlineStr">
        <is>
          <t>1000.00</t>
        </is>
      </c>
    </row>
    <row collapsed="false" customFormat="false" customHeight="false" hidden="false" ht="12.1" outlineLevel="0" r="125">
      <c r="A125" s="5" t="s">
        <f>=HYPERLINK("https://www.leilaoonline.com.br/lote/detalhe/293402", "35133")</f>
      </c>
      <c r="B125" s="4" t="s">
        <f>=HYPERLINK("https://www.leilaoonline.com.br/lote/detalhe/293402", "REBOQUE SOUFER CA 2E - ANO 2012/2012 - AZUL - FR22897 - (TRANSBORDO) - LOC. ZANIN")</f>
      </c>
      <c r="C125" s="4" t="inlineStr">
        <is>
          <t>Vendido</t>
        </is>
      </c>
      <c r="D125" s="4" t="inlineStr">
        <is>
          <t>9</t>
        </is>
      </c>
      <c r="E125" s="5" t="inlineStr">
        <is>
          <t>23.000,00</t>
        </is>
      </c>
      <c r="F125" s="4" t="inlineStr">
        <is>
          <t>1000.00</t>
        </is>
      </c>
    </row>
    <row collapsed="false" customFormat="false" customHeight="false" hidden="false" ht="12.1" outlineLevel="0" r="126">
      <c r="A126" s="5" t="s">
        <f>=HYPERLINK("https://www.leilaoonline.com.br/lote/detalhe/293403", "35134")</f>
      </c>
      <c r="B126" s="4" t="s">
        <f>=HYPERLINK("https://www.leilaoonline.com.br/lote/detalhe/293403", "REBOQUE CAMAQ CPL - ANO 1993/1993 - LARANJA - FR121120 - (TRANSBORDO) - (VENDA SOMENTE PARA COMPRADORES DO ESTADO DE SÃO PAULO) - LOC. ZANIN")</f>
      </c>
      <c r="C126" s="4" t="inlineStr">
        <is>
          <t>Vendido</t>
        </is>
      </c>
      <c r="D126" s="4" t="inlineStr">
        <is>
          <t>42</t>
        </is>
      </c>
      <c r="E126" s="5" t="inlineStr">
        <is>
          <t>60.000,00</t>
        </is>
      </c>
      <c r="F126" s="4" t="inlineStr">
        <is>
          <t>2000.00</t>
        </is>
      </c>
    </row>
    <row collapsed="false" customFormat="false" customHeight="false" hidden="false" ht="12.1" outlineLevel="0" r="127">
      <c r="A127" s="5" t="s">
        <f>=HYPERLINK("https://www.leilaoonline.com.br/lote/detalhe/293404", "35135")</f>
      </c>
      <c r="B127" s="4" t="s">
        <f>=HYPERLINK("https://www.leilaoonline.com.br/lote/detalhe/293404", "REBOQUE SOUFER CA 2E - ANO 2012/2012 - AZUL - FR22896 - (TRANSBORDO) - LOC. ZANIN")</f>
      </c>
      <c r="C127" s="4" t="inlineStr">
        <is>
          <t>Vendido</t>
        </is>
      </c>
      <c r="D127" s="4" t="inlineStr">
        <is>
          <t>40</t>
        </is>
      </c>
      <c r="E127" s="5" t="inlineStr">
        <is>
          <t>62.000,00</t>
        </is>
      </c>
      <c r="F127" s="4" t="inlineStr">
        <is>
          <t>2000.00</t>
        </is>
      </c>
    </row>
    <row collapsed="false" customFormat="false" customHeight="false" hidden="false" ht="12.1" outlineLevel="0" r="128">
      <c r="A128" s="5" t="s">
        <f>=HYPERLINK("https://www.leilaoonline.com.br/lote/detalhe/293405", "35136")</f>
      </c>
      <c r="B128" s="4" t="s">
        <f>=HYPERLINK("https://www.leilaoonline.com.br/lote/detalhe/293405", "REBOQUE CAMAQ CPL - ANO 1994/1994 - LARANJA - FR123753/121207 - (TRANSBORDO) - LOC. ZANIN ‎")</f>
      </c>
      <c r="C128" s="4" t="inlineStr">
        <is>
          <t>Vendido</t>
        </is>
      </c>
      <c r="D128" s="4" t="inlineStr">
        <is>
          <t>47</t>
        </is>
      </c>
      <c r="E128" s="5" t="inlineStr">
        <is>
          <t>63.000,00</t>
        </is>
      </c>
      <c r="F128" s="4" t="inlineStr">
        <is>
          <t>2000.00</t>
        </is>
      </c>
    </row>
    <row collapsed="false" customFormat="false" customHeight="false" hidden="false" ht="12.1" outlineLevel="0" r="129">
      <c r="A129" s="5" t="s">
        <f>=HYPERLINK("https://www.leilaoonline.com.br/lote/detalhe/293406", "35137")</f>
      </c>
      <c r="B129" s="4" t="s">
        <f>=HYPERLINK("https://www.leilaoonline.com.br/lote/detalhe/293406", "REBOQUE CAMAQ CPL - ANO 1994/1994 - AZUL - FR121194 - (TRANSBORDO) - LOC. ZANIN")</f>
      </c>
      <c r="C129" s="4" t="inlineStr">
        <is>
          <t>Vendido</t>
        </is>
      </c>
      <c r="D129" s="4" t="inlineStr">
        <is>
          <t>43</t>
        </is>
      </c>
      <c r="E129" s="5" t="inlineStr">
        <is>
          <t>60.000,00</t>
        </is>
      </c>
      <c r="F129" s="4" t="inlineStr">
        <is>
          <t>2000.00</t>
        </is>
      </c>
    </row>
    <row collapsed="false" customFormat="false" customHeight="false" hidden="false" ht="12.1" outlineLevel="0" r="130">
      <c r="A130" s="5" t="s">
        <f>=HYPERLINK("https://www.leilaoonline.com.br/lote/detalhe/293433", "35138")</f>
      </c>
      <c r="B130" s="4" t="s">
        <f>=HYPERLINK("https://www.leilaoonline.com.br/lote/detalhe/293433", "REBOQUE CAMAQ CPL - ANO 1994/1994 - LARANJA - FR121216 - (TRANSBORDO) - LOC. ZANIN")</f>
      </c>
      <c r="C130" s="4" t="inlineStr">
        <is>
          <t>Vendido</t>
        </is>
      </c>
      <c r="D130" s="4" t="inlineStr">
        <is>
          <t>20</t>
        </is>
      </c>
      <c r="E130" s="5" t="inlineStr">
        <is>
          <t>29.000,00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=HYPERLINK("https://www.leilaoonline.com.br/lote/detalhe/293434", "35139")</f>
      </c>
      <c r="B131" s="4" t="s">
        <f>=HYPERLINK("https://www.leilaoonline.com.br/lote/detalhe/293434", "DOLLY - ANO 2008 - FR98013 - (VENDA SEM DOCUMENTO) - LOC. ZANIN")</f>
      </c>
      <c r="C131" s="4" t="inlineStr">
        <is>
          <t>Não vendido</t>
        </is>
      </c>
      <c r="D131" s="4" t="inlineStr">
        <is>
          <t>14</t>
        </is>
      </c>
      <c r="E131" s="5" t="inlineStr">
        <is>
          <t>12.500,00</t>
        </is>
      </c>
      <c r="F131" s="4" t="inlineStr">
        <is>
          <t>500.00</t>
        </is>
      </c>
    </row>
    <row collapsed="false" customFormat="false" customHeight="false" hidden="false" ht="12.1" outlineLevel="0" r="132">
      <c r="A132" s="5" t="s">
        <f>=HYPERLINK("https://www.leilaoonline.com.br/lote/detalhe/293435", "35140")</f>
      </c>
      <c r="B132" s="4" t="s">
        <f>=HYPERLINK("https://www.leilaoonline.com.br/lote/detalhe/293435", "CAMINHÃO MERCEDES BENZ AXOR 3344 6X4 - ANO 2014/2014 - BRANCO - FR362077 - (CARROCERIA BAZUCA COM MUNCK) - LOC. ZANIN")</f>
      </c>
      <c r="C132" s="4" t="inlineStr">
        <is>
          <t>Vendido</t>
        </is>
      </c>
      <c r="D132" s="4" t="inlineStr">
        <is>
          <t>111</t>
        </is>
      </c>
      <c r="E132" s="5" t="inlineStr">
        <is>
          <t>290.000,00</t>
        </is>
      </c>
      <c r="F132" s="4" t="inlineStr">
        <is>
          <t>2000.00</t>
        </is>
      </c>
    </row>
    <row collapsed="false" customFormat="false" customHeight="false" hidden="false" ht="12.1" outlineLevel="0" r="133">
      <c r="A133" s="5" t="s">
        <f>=HYPERLINK("https://www.leilaoonline.com.br/lote/detalhe/293436", "35141")</f>
      </c>
      <c r="B133" s="4" t="s">
        <f>=HYPERLINK("https://www.leilaoonline.com.br/lote/detalhe/293436", "CAMINHÃO VOLKSWAGEN 31.320 CNC 6X4 - ANO 2008/2008 - BRANCO - FR360152 - (CARROCERIA TANQUE DE FIBRA) - LOC. ZANIN")</f>
      </c>
      <c r="C133" s="4" t="inlineStr">
        <is>
          <t>Vendido</t>
        </is>
      </c>
      <c r="D133" s="4" t="inlineStr">
        <is>
          <t>80</t>
        </is>
      </c>
      <c r="E133" s="5" t="inlineStr">
        <is>
          <t>151.000,00</t>
        </is>
      </c>
      <c r="F133" s="4" t="inlineStr">
        <is>
          <t>2000.00</t>
        </is>
      </c>
    </row>
    <row collapsed="false" customFormat="false" customHeight="false" hidden="false" ht="12.1" outlineLevel="0" r="134">
      <c r="A134" s="5" t="s">
        <f>=HYPERLINK("https://www.leilaoonline.com.br/lote/detalhe/293437", "35142")</f>
      </c>
      <c r="B134" s="4" t="s">
        <f>=HYPERLINK("https://www.leilaoonline.com.br/lote/detalhe/293437", "CULTIVADOR DE CANA E CARRETA DE SERVIÇOS DIVERSOS - ANO 2014 - FR17215 - LOC. ZANIN")</f>
      </c>
      <c r="C134" s="4" t="inlineStr">
        <is>
          <t>Vendido</t>
        </is>
      </c>
      <c r="D134" s="4" t="inlineStr">
        <is>
          <t>6</t>
        </is>
      </c>
      <c r="E134" s="5" t="inlineStr">
        <is>
          <t>3.250,00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=HYPERLINK("https://www.leilaoonline.com.br/lote/detalhe/293444", "35143")</f>
      </c>
      <c r="B135" s="4" t="s">
        <f>=HYPERLINK("https://www.leilaoonline.com.br/lote/detalhe/293444", "EQUIPAMENTOS DE LABORATÓRIO: 2 ESTUFAS, 1 BATEDOR, 1 BALCÃO REFRIGERADO, 2 MESAS DE INOX, 1 GELADEIRA E 15 MESAS DE MADEIRA - LOC. BONFIM")</f>
      </c>
      <c r="C135" s="4" t="inlineStr">
        <is>
          <t>Vendido</t>
        </is>
      </c>
      <c r="D135" s="4" t="inlineStr">
        <is>
          <t>6</t>
        </is>
      </c>
      <c r="E135" s="5" t="inlineStr">
        <is>
          <t>3.250,00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=HYPERLINK("https://www.leilaoonline.com.br/lote/detalhe/293438", "35144")</f>
      </c>
      <c r="B136" s="4" t="s">
        <f>=HYPERLINK("https://www.leilaoonline.com.br/lote/detalhe/293438", "CARRETA ESP. CALCÁRIO - ANO 2013 - FR361708 - LOC. ZANIN")</f>
      </c>
      <c r="C136" s="4" t="inlineStr">
        <is>
          <t>Não vendido</t>
        </is>
      </c>
      <c r="D136" s="4" t="inlineStr">
        <is>
          <t>25</t>
        </is>
      </c>
      <c r="E136" s="5" t="inlineStr">
        <is>
          <t>8.000,00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=HYPERLINK("https://www.leilaoonline.com.br/lote/detalhe/293439", "35145")</f>
      </c>
      <c r="B137" s="4" t="s">
        <f>=HYPERLINK("https://www.leilaoonline.com.br/lote/detalhe/293439", "CARRETA ESP. CALCÁRIO - ANO 2012 - FR361707 - LOC. ZANIN")</f>
      </c>
      <c r="C137" s="4" t="inlineStr">
        <is>
          <t>Vendido</t>
        </is>
      </c>
      <c r="D137" s="4" t="inlineStr">
        <is>
          <t>22</t>
        </is>
      </c>
      <c r="E137" s="5" t="inlineStr">
        <is>
          <t>7.250,00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=HYPERLINK("https://www.leilaoonline.com.br/lote/detalhe/293440", "35146")</f>
      </c>
      <c r="B138" s="4" t="s">
        <f>=HYPERLINK("https://www.leilaoonline.com.br/lote/detalhe/293440", "CARRETA BAÚ SERVIÇOS DIVERSOS - S/FR - LOC. BONFIM")</f>
      </c>
      <c r="C138" s="4" t="inlineStr">
        <is>
          <t>Vendido</t>
        </is>
      </c>
      <c r="D138" s="4" t="inlineStr">
        <is>
          <t>4</t>
        </is>
      </c>
      <c r="E138" s="5" t="inlineStr">
        <is>
          <t>4.000,00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=HYPERLINK("https://www.leilaoonline.com.br/lote/detalhe/293441", "35147")</f>
      </c>
      <c r="B139" s="4" t="s">
        <f>=HYPERLINK("https://www.leilaoonline.com.br/lote/detalhe/293441", "SEMI REBOQUE SERGOMEL SRSCPI 2E - ANO 2014/2014 - CINZA - FR121757 - LOC. BONFIM")</f>
      </c>
      <c r="C139" s="4" t="inlineStr">
        <is>
          <t>Vendido</t>
        </is>
      </c>
      <c r="D139" s="4" t="inlineStr">
        <is>
          <t>15</t>
        </is>
      </c>
      <c r="E139" s="5" t="inlineStr">
        <is>
          <t>34.000,00</t>
        </is>
      </c>
      <c r="F139" s="4" t="inlineStr">
        <is>
          <t>1000.00</t>
        </is>
      </c>
    </row>
    <row collapsed="false" customFormat="false" customHeight="false" hidden="false" ht="12.1" outlineLevel="0" r="140">
      <c r="A140" s="5" t="s">
        <f>=HYPERLINK("https://www.leilaoonline.com.br/lote/detalhe/293442", "35148")</f>
      </c>
      <c r="B140" s="4" t="s">
        <f>=HYPERLINK("https://www.leilaoonline.com.br/lote/detalhe/293442", "SEMI REBOQUE GUERRA AG TQ - ANO 2009/2009 - AZUL - FR121303 - (TANQUE DE FIBRA) - LOC. BONFIM")</f>
      </c>
      <c r="C140" s="4" t="inlineStr">
        <is>
          <t>Vendido</t>
        </is>
      </c>
      <c r="D140" s="4" t="inlineStr">
        <is>
          <t>11</t>
        </is>
      </c>
      <c r="E140" s="5" t="inlineStr">
        <is>
          <t>20.000,00</t>
        </is>
      </c>
      <c r="F140" s="4" t="inlineStr">
        <is>
          <t>1000.00</t>
        </is>
      </c>
    </row>
    <row collapsed="false" customFormat="false" customHeight="false" hidden="false" ht="12.1" outlineLevel="0" r="141">
      <c r="A141" s="5" t="s">
        <f>=HYPERLINK("https://www.leilaoonline.com.br/lote/detalhe/293443", "35149")</f>
      </c>
      <c r="B141" s="4" t="s">
        <f>=HYPERLINK("https://www.leilaoonline.com.br/lote/detalhe/293443", "CAMINHÃO VOLKSWAGEN 15.180 EURO3 WORKER - ANO 2010/2010 - BRANCO - FR119906 - (BAÚ) - LOC. BONFIM")</f>
      </c>
      <c r="C141" s="4" t="inlineStr">
        <is>
          <t>Não vendido</t>
        </is>
      </c>
      <c r="D141" s="4" t="inlineStr">
        <is>
          <t>87</t>
        </is>
      </c>
      <c r="E141" s="5" t="inlineStr">
        <is>
          <t>101.000,00</t>
        </is>
      </c>
      <c r="F141" s="4" t="inlineStr">
        <is>
          <t>1000.00</t>
        </is>
      </c>
    </row>
    <row collapsed="false" customFormat="false" customHeight="false" hidden="false" ht="12.1" outlineLevel="0" r="142">
      <c r="A142" s="5" t="s">
        <f>=HYPERLINK("https://www.leilaoonline.com.br/lote/detalhe/293445", "35150")</f>
      </c>
      <c r="B142" s="4" t="s">
        <f>=HYPERLINK("https://www.leilaoonline.com.br/lote/detalhe/293445", "EQUIPAMENTOS PARA LABORATÓRIO: 66 CAIXAS DE TUBETES E 5800 FRASCOS DE VIDRO BOCA LARGA COM TAMPA - LOC. BONFIM     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1.000,00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=HYPERLINK("https://www.leilaoonline.com.br/lote/detalhe/293502", "35151")</f>
      </c>
      <c r="B143" s="4" t="s">
        <f>=HYPERLINK("https://www.leilaoonline.com.br/lote/detalhe/293502", "PRENSA HIDRÁULICA - PAT.004335 - LOC. CONTINENTAL")</f>
      </c>
      <c r="C143" s="4" t="inlineStr">
        <is>
          <t>Vendido</t>
        </is>
      </c>
      <c r="D143" s="4" t="inlineStr">
        <is>
          <t>25</t>
        </is>
      </c>
      <c r="E143" s="5" t="inlineStr">
        <is>
          <t>17.000,00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=HYPERLINK("https://www.leilaoonline.com.br/lote/detalhe/293503", "35152")</f>
      </c>
      <c r="B144" s="4" t="s">
        <f>=HYPERLINK("https://www.leilaoonline.com.br/lote/detalhe/293503", "SUCATA DE 3 REDUTORES - S/FR - LOC. CONTINENTAL   ")</f>
      </c>
      <c r="C144" s="4" t="inlineStr">
        <is>
          <t>Vendido</t>
        </is>
      </c>
      <c r="D144" s="4" t="inlineStr">
        <is>
          <t>60</t>
        </is>
      </c>
      <c r="E144" s="5" t="inlineStr">
        <is>
          <t>20.800,00</t>
        </is>
      </c>
      <c r="F144" s="4" t="inlineStr">
        <is>
          <t>1000.00</t>
        </is>
      </c>
    </row>
    <row collapsed="false" customFormat="false" customHeight="false" hidden="false" ht="12.1" outlineLevel="0" r="145">
      <c r="A145" s="5" t="s">
        <f>=HYPERLINK("https://www.leilaoonline.com.br/lote/detalhe/293582", "35153")</f>
      </c>
      <c r="B145" s="4" t="s">
        <f>=HYPERLINK("https://www.leilaoonline.com.br/lote/detalhe/293582", "SUCATA DE APROXIMADAMENTE 33 MOTORES ELÉTRICOS DE VÁRIOS TAMANHOS - LOC. CONTINENTAL ")</f>
      </c>
      <c r="C145" s="4" t="inlineStr">
        <is>
          <t>Vendido</t>
        </is>
      </c>
      <c r="D145" s="4" t="inlineStr">
        <is>
          <t>63</t>
        </is>
      </c>
      <c r="E145" s="5" t="inlineStr">
        <is>
          <t>44.000,00</t>
        </is>
      </c>
      <c r="F145" s="4" t="inlineStr">
        <is>
          <t>1000.00</t>
        </is>
      </c>
    </row>
    <row collapsed="false" customFormat="false" customHeight="false" hidden="false" ht="12.1" outlineLevel="0" r="146">
      <c r="A146" s="5" t="s">
        <f>=HYPERLINK("https://www.leilaoonline.com.br/lote/detalhe/293504", "35154")</f>
      </c>
      <c r="B146" s="4" t="s">
        <f>=HYPERLINK("https://www.leilaoonline.com.br/lote/detalhe/293504", "SUCATA DE 3 TANQUES, SENDO: 1 DE FIBRA, 1 DE AÇO E 1 DE INOX/MISTO - S/FR - LOC. CONTINENTAL ")</f>
      </c>
      <c r="C146" s="4" t="inlineStr">
        <is>
          <t>Não vendido</t>
        </is>
      </c>
      <c r="D146" s="4" t="inlineStr">
        <is>
          <t>2</t>
        </is>
      </c>
      <c r="E146" s="5" t="inlineStr">
        <is>
          <t>2.750,00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=HYPERLINK("https://www.leilaoonline.com.br/lote/detalhe/293505", "35155")</f>
      </c>
      <c r="B147" s="4" t="s">
        <f>=HYPERLINK("https://www.leilaoonline.com.br/lote/detalhe/293505", "TRANSBORDO SANTA IZABEL TASI 15.000 - ANO 2014 - FR10003191 - LOC. CONTINENTAL ")</f>
      </c>
      <c r="C147" s="4" t="inlineStr">
        <is>
          <t>Vendido</t>
        </is>
      </c>
      <c r="D147" s="4" t="inlineStr">
        <is>
          <t>17</t>
        </is>
      </c>
      <c r="E147" s="5" t="inlineStr">
        <is>
          <t>22.000,00</t>
        </is>
      </c>
      <c r="F147" s="4" t="inlineStr">
        <is>
          <t>1000.00</t>
        </is>
      </c>
    </row>
    <row collapsed="false" customFormat="false" customHeight="false" hidden="false" ht="12.1" outlineLevel="0" r="148">
      <c r="A148" s="5" t="s">
        <f>=HYPERLINK("https://www.leilaoonline.com.br/lote/detalhe/293506", "35156")</f>
      </c>
      <c r="B148" s="4" t="s">
        <f>=HYPERLINK("https://www.leilaoonline.com.br/lote/detalhe/293506", "TRANSBORDO SANTA IZABEL - TASI 15.000 - ANO 2013 - FR10003176 - LOC. CONTINENTAL")</f>
      </c>
      <c r="C148" s="4" t="inlineStr">
        <is>
          <t>Vendido</t>
        </is>
      </c>
      <c r="D148" s="4" t="inlineStr">
        <is>
          <t>20</t>
        </is>
      </c>
      <c r="E148" s="5" t="inlineStr">
        <is>
          <t>31.500,00</t>
        </is>
      </c>
      <c r="F148" s="4" t="inlineStr">
        <is>
          <t>1000.00</t>
        </is>
      </c>
    </row>
    <row collapsed="false" customFormat="false" customHeight="false" hidden="false" ht="12.1" outlineLevel="0" r="149">
      <c r="A149" s="5" t="s">
        <f>=HYPERLINK("https://www.leilaoonline.com.br/lote/detalhe/293528", "35157")</f>
      </c>
      <c r="B149" s="4" t="s">
        <f>=HYPERLINK("https://www.leilaoonline.com.br/lote/detalhe/293528", "TRANSBORDO SANTA IZABEL TASI 15.000 - ANO 2014 - FR10003186 - LOC. CONTINENTAL ")</f>
      </c>
      <c r="C149" s="4" t="inlineStr">
        <is>
          <t>Vendido</t>
        </is>
      </c>
      <c r="D149" s="4" t="inlineStr">
        <is>
          <t>18</t>
        </is>
      </c>
      <c r="E149" s="5" t="inlineStr">
        <is>
          <t>30.000,00</t>
        </is>
      </c>
      <c r="F149" s="4" t="inlineStr">
        <is>
          <t>1000.00</t>
        </is>
      </c>
    </row>
    <row collapsed="false" customFormat="false" customHeight="false" hidden="false" ht="12.1" outlineLevel="0" r="150">
      <c r="A150" s="5" t="s">
        <f>=HYPERLINK("https://www.leilaoonline.com.br/lote/detalhe/293574", "35158")</f>
      </c>
      <c r="B150" s="4" t="s">
        <f>=HYPERLINK("https://www.leilaoonline.com.br/lote/detalhe/293574", "TRANSBORDO SANTA IZABEL TRSI 15.000 - ANO 2013 - FR10003171 - LOC. CONTINENTAL ")</f>
      </c>
      <c r="C150" s="4" t="inlineStr">
        <is>
          <t>Vendido</t>
        </is>
      </c>
      <c r="D150" s="4" t="inlineStr">
        <is>
          <t>4</t>
        </is>
      </c>
      <c r="E150" s="5" t="inlineStr">
        <is>
          <t>12.500,00</t>
        </is>
      </c>
      <c r="F150" s="4" t="inlineStr">
        <is>
          <t>1000.00</t>
        </is>
      </c>
    </row>
    <row collapsed="false" customFormat="false" customHeight="false" hidden="false" ht="12.1" outlineLevel="0" r="151">
      <c r="A151" s="5" t="s">
        <f>=HYPERLINK("https://www.leilaoonline.com.br/lote/detalhe/293578", "35159")</f>
      </c>
      <c r="B151" s="4" t="s">
        <f>=HYPERLINK("https://www.leilaoonline.com.br/lote/detalhe/293578", "TRANSBORDO SANTA IZABEL TASI 15.000 - ANO 2014 - FR10003184 - LOC. CONTINENTAL")</f>
      </c>
      <c r="C151" s="4" t="inlineStr">
        <is>
          <t>Vendido</t>
        </is>
      </c>
      <c r="D151" s="4" t="inlineStr">
        <is>
          <t>1</t>
        </is>
      </c>
      <c r="E151" s="5" t="inlineStr">
        <is>
          <t>10.000,00</t>
        </is>
      </c>
      <c r="F151" s="4" t="inlineStr">
        <is>
          <t>1000.00</t>
        </is>
      </c>
    </row>
    <row collapsed="false" customFormat="false" customHeight="false" hidden="false" ht="12.1" outlineLevel="0" r="152">
      <c r="A152" s="5" t="s">
        <f>=HYPERLINK("https://www.leilaoonline.com.br/lote/detalhe/293581", "35160")</f>
      </c>
      <c r="B152" s="4" t="s">
        <f>=HYPERLINK("https://www.leilaoonline.com.br/lote/detalhe/293581", "TRANSBORDO SANTA IZABEL TRIDEM 13T - ANO 2014 - FR10003189 - LOC. CONTINENTAL")</f>
      </c>
      <c r="C152" s="4" t="inlineStr">
        <is>
          <t>Não vendido</t>
        </is>
      </c>
      <c r="D152" s="4" t="inlineStr">
        <is>
          <t>4</t>
        </is>
      </c>
      <c r="E152" s="5" t="inlineStr">
        <is>
          <t>13.000,00</t>
        </is>
      </c>
      <c r="F152" s="4" t="inlineStr">
        <is>
          <t>1000.00</t>
        </is>
      </c>
    </row>
    <row collapsed="false" customFormat="false" customHeight="false" hidden="false" ht="12.1" outlineLevel="0" r="153">
      <c r="A153" s="5" t="s">
        <f>=HYPERLINK("https://www.leilaoonline.com.br/lote/detalhe/293580", "35161")</f>
      </c>
      <c r="B153" s="4" t="s">
        <f>=HYPERLINK("https://www.leilaoonline.com.br/lote/detalhe/293580", "TRANSBORDO SANTA IZABEL TASI 15.000 - ANO 2014 - FR10003183 - LOC. CONTINENTAL ")</f>
      </c>
      <c r="C153" s="4" t="inlineStr">
        <is>
          <t>Vendido</t>
        </is>
      </c>
      <c r="D153" s="4" t="inlineStr">
        <is>
          <t>7</t>
        </is>
      </c>
      <c r="E153" s="5" t="inlineStr">
        <is>
          <t>16.000,00</t>
        </is>
      </c>
      <c r="F153" s="4" t="inlineStr">
        <is>
          <t>1000.00</t>
        </is>
      </c>
    </row>
    <row collapsed="false" customFormat="false" customHeight="false" hidden="false" ht="12.1" outlineLevel="0" r="154">
      <c r="A154" s="5" t="s">
        <f>=HYPERLINK("https://www.leilaoonline.com.br/lote/detalhe/293583", "35162")</f>
      </c>
      <c r="B154" s="4" t="s">
        <f>=HYPERLINK("https://www.leilaoonline.com.br/lote/detalhe/293583", "HIDRO ROLL METALMAG - ANO 2006 - FR117002 - LOC. CONTINENTAL ")</f>
      </c>
      <c r="C154" s="4" t="inlineStr">
        <is>
          <t>Vendido</t>
        </is>
      </c>
      <c r="D154" s="4" t="inlineStr">
        <is>
          <t>1</t>
        </is>
      </c>
      <c r="E154" s="5" t="inlineStr">
        <is>
          <t>2.000,00</t>
        </is>
      </c>
      <c r="F154" s="4" t="inlineStr">
        <is>
          <t>500.00</t>
        </is>
      </c>
    </row>
    <row collapsed="false" customFormat="false" customHeight="false" hidden="false" ht="12.1" outlineLevel="0" r="155">
      <c r="A155" s="5" t="s">
        <f>=HYPERLINK("https://www.leilaoonline.com.br/lote/detalhe/295096", "35163")</f>
      </c>
      <c r="B155" s="4" t="s">
        <f>=HYPERLINK("https://www.leilaoonline.com.br/lote/detalhe/295096", "SEMI REBOQUE RANDON SP SRCA CA - ANO 2012/2013 - CINZA - FR121553 - LOC. SANTA ELISA ")</f>
      </c>
      <c r="C155" s="4" t="inlineStr">
        <is>
          <t>Não vendido</t>
        </is>
      </c>
      <c r="D155" s="4" t="inlineStr">
        <is>
          <t>25</t>
        </is>
      </c>
      <c r="E155" s="5" t="inlineStr">
        <is>
          <t>69.000,00</t>
        </is>
      </c>
      <c r="F155" s="4" t="inlineStr">
        <is>
          <t>1000.00</t>
        </is>
      </c>
    </row>
    <row collapsed="false" customFormat="false" customHeight="false" hidden="false" ht="12.1" outlineLevel="0" r="156">
      <c r="A156" s="5" t="s">
        <f>=HYPERLINK("https://www.leilaoonline.com.br/lote/detalhe/295095", "35164")</f>
      </c>
      <c r="B156" s="4" t="s">
        <f>=HYPERLINK("https://www.leilaoonline.com.br/lote/detalhe/295095", "REBOQUE RANDON SP RQ CA - ANO 2012/2013 - CINZA - FR121548 - LOC. SANTA ELISA  ")</f>
      </c>
      <c r="C156" s="4" t="inlineStr">
        <is>
          <t>Não vendido</t>
        </is>
      </c>
      <c r="D156" s="4" t="inlineStr">
        <is>
          <t>41</t>
        </is>
      </c>
      <c r="E156" s="5" t="inlineStr">
        <is>
          <t>61.000,00</t>
        </is>
      </c>
      <c r="F156" s="4" t="inlineStr">
        <is>
          <t>1000.00</t>
        </is>
      </c>
    </row>
    <row collapsed="false" customFormat="false" customHeight="false" hidden="false" ht="12.1" outlineLevel="0" r="157">
      <c r="A157" s="5" t="s">
        <f>=HYPERLINK("https://www.leilaoonline.com.br/lote/detalhe/295094", "35165")</f>
      </c>
      <c r="B157" s="4" t="s">
        <f>=HYPERLINK("https://www.leilaoonline.com.br/lote/detalhe/295094", "REBOQUE RANDON SP RQ CA - ANO 2012/2013 - CINZA - FR121583 - LOC. SANTA ELISA  ")</f>
      </c>
      <c r="C157" s="4" t="inlineStr">
        <is>
          <t>Não vendido</t>
        </is>
      </c>
      <c r="D157" s="4" t="inlineStr">
        <is>
          <t>38</t>
        </is>
      </c>
      <c r="E157" s="5" t="inlineStr">
        <is>
          <t>57.000,00</t>
        </is>
      </c>
      <c r="F157" s="4" t="inlineStr">
        <is>
          <t>1000.00</t>
        </is>
      </c>
    </row>
    <row collapsed="false" customFormat="false" customHeight="false" hidden="false" ht="12.1" outlineLevel="0" r="158">
      <c r="A158" s="5" t="s">
        <f>=HYPERLINK("https://www.leilaoonline.com.br/lote/detalhe/295093", "35167")</f>
      </c>
      <c r="B158" s="4" t="s">
        <f>=HYPERLINK("https://www.leilaoonline.com.br/lote/detalhe/295093", "SEMI REBOQUE RANDON SP SRCA CA - ANO 2013/2014 - CINZA - FR121611 - LOC. SANTA ELISA  ")</f>
      </c>
      <c r="C158" s="4" t="inlineStr">
        <is>
          <t>Não vendido</t>
        </is>
      </c>
      <c r="D158" s="4" t="inlineStr">
        <is>
          <t>36</t>
        </is>
      </c>
      <c r="E158" s="5" t="inlineStr">
        <is>
          <t>73.000,00</t>
        </is>
      </c>
      <c r="F158" s="4" t="inlineStr">
        <is>
          <t>1000.00</t>
        </is>
      </c>
    </row>
    <row collapsed="false" customFormat="false" customHeight="false" hidden="false" ht="12.1" outlineLevel="0" r="159">
      <c r="A159" s="5" t="s">
        <f>=HYPERLINK("https://www.leilaoonline.com.br/lote/detalhe/295091", "35168")</f>
      </c>
      <c r="B159" s="4" t="s">
        <f>=HYPERLINK("https://www.leilaoonline.com.br/lote/detalhe/295091", "REBOQUE RANDON SP RQ CA - ANO 2012/2013 - CINZA - FR121542 - LOC. SANTA ELISA  ")</f>
      </c>
      <c r="C159" s="4" t="inlineStr">
        <is>
          <t>Não vendido</t>
        </is>
      </c>
      <c r="D159" s="4" t="inlineStr">
        <is>
          <t>45</t>
        </is>
      </c>
      <c r="E159" s="5" t="inlineStr">
        <is>
          <t>64.000,00</t>
        </is>
      </c>
      <c r="F159" s="4" t="inlineStr">
        <is>
          <t>1000.00</t>
        </is>
      </c>
    </row>
    <row collapsed="false" customFormat="false" customHeight="false" hidden="false" ht="12.1" outlineLevel="0" r="160">
      <c r="A160" s="5" t="s">
        <f>=HYPERLINK("https://www.leilaoonline.com.br/lote/detalhe/295089", "35169")</f>
      </c>
      <c r="B160" s="4" t="s">
        <f>=HYPERLINK("https://www.leilaoonline.com.br/lote/detalhe/295089", "CAMINHÃO VOLKSWAGEN 13.150 - ANO 2001/2001 - BRANCO - FR11001035 - (BAÚ) - LOC. SANTA ELISA   ")</f>
      </c>
      <c r="C160" s="4" t="inlineStr">
        <is>
          <t>Não vendido</t>
        </is>
      </c>
      <c r="D160" s="4" t="inlineStr">
        <is>
          <t>72</t>
        </is>
      </c>
      <c r="E160" s="5" t="inlineStr">
        <is>
          <t>102.000,00</t>
        </is>
      </c>
      <c r="F160" s="4" t="inlineStr">
        <is>
          <t>1000.00</t>
        </is>
      </c>
    </row>
    <row collapsed="false" customFormat="false" customHeight="false" hidden="false" ht="12.1" outlineLevel="0" r="161">
      <c r="A161" s="5" t="s">
        <f>=HYPERLINK("https://www.leilaoonline.com.br/lote/detalhe/295085", "35172")</f>
      </c>
      <c r="B161" s="4" t="s">
        <f>=HYPERLINK("https://www.leilaoonline.com.br/lote/detalhe/295085", "REBOQUE RODOVIÁRIA RQ CI PR - ANO 1994/1994 - VERDE - FR11004031 - (ÁREA DE VIVÊNCIA) - LOC. SANTA ELISA   ")</f>
      </c>
      <c r="C161" s="4" t="inlineStr">
        <is>
          <t>Vendido</t>
        </is>
      </c>
      <c r="D161" s="4" t="inlineStr">
        <is>
          <t>20</t>
        </is>
      </c>
      <c r="E161" s="5" t="inlineStr">
        <is>
          <t>17.000,00</t>
        </is>
      </c>
      <c r="F161" s="4" t="inlineStr">
        <is>
          <t>500.00</t>
        </is>
      </c>
    </row>
    <row collapsed="false" customFormat="false" customHeight="false" hidden="false" ht="12.1" outlineLevel="0" r="162">
      <c r="A162" s="5" t="s">
        <f>=HYPERLINK("https://www.leilaoonline.com.br/lote/detalhe/294886", "35175")</f>
      </c>
      <c r="B162" s="4" t="s">
        <f>=HYPERLINK("https://www.leilaoonline.com.br/lote/detalhe/294886", "ÁREA DE VIVÊNCIA - FR14003576 - LOC. SANTA ELISA ")</f>
      </c>
      <c r="C162" s="4" t="inlineStr">
        <is>
          <t>Não vendido</t>
        </is>
      </c>
      <c r="D162" s="4" t="inlineStr">
        <is>
          <t>7</t>
        </is>
      </c>
      <c r="E162" s="5" t="inlineStr">
        <is>
          <t>5.000,00</t>
        </is>
      </c>
      <c r="F162" s="4" t="inlineStr">
        <is>
          <t>500.00</t>
        </is>
      </c>
    </row>
    <row collapsed="false" customFormat="false" customHeight="false" hidden="false" ht="12.1" outlineLevel="0" r="163">
      <c r="A163" s="5" t="s">
        <f>=HYPERLINK("https://www.leilaoonline.com.br/lote/detalhe/294885", "35176")</f>
      </c>
      <c r="B163" s="4" t="s">
        <f>=HYPERLINK("https://www.leilaoonline.com.br/lote/detalhe/294885", "SEMI REBOQUE RANDON SP SRCA CA - ANO 2012/2013 - CINZA - FR121584 - LOC. SANTA ELISA ")</f>
      </c>
      <c r="C163" s="4" t="inlineStr">
        <is>
          <t>Não vendido</t>
        </is>
      </c>
      <c r="D163" s="4" t="inlineStr">
        <is>
          <t>40</t>
        </is>
      </c>
      <c r="E163" s="5" t="inlineStr">
        <is>
          <t>74.000,00</t>
        </is>
      </c>
      <c r="F163" s="4" t="inlineStr">
        <is>
          <t>1000.00</t>
        </is>
      </c>
    </row>
    <row collapsed="false" customFormat="false" customHeight="false" hidden="false" ht="12.1" outlineLevel="0" r="164">
      <c r="A164" s="5" t="s">
        <f>=HYPERLINK("https://www.leilaoonline.com.br/lote/detalhe/294883", "35177")</f>
      </c>
      <c r="B164" s="4" t="s">
        <f>=HYPERLINK("https://www.leilaoonline.com.br/lote/detalhe/294883", "REBOQUE RANDON SP RQ CA - ANO 2012/2013 - CINZA - FR121547 - LOC. SANTA ELISA ")</f>
      </c>
      <c r="C164" s="4" t="inlineStr">
        <is>
          <t>Não vendido</t>
        </is>
      </c>
      <c r="D164" s="4" t="inlineStr">
        <is>
          <t>48</t>
        </is>
      </c>
      <c r="E164" s="5" t="inlineStr">
        <is>
          <t>67.000,00</t>
        </is>
      </c>
      <c r="F164" s="4" t="inlineStr">
        <is>
          <t>1000.00</t>
        </is>
      </c>
    </row>
    <row collapsed="false" customFormat="false" customHeight="false" hidden="false" ht="12.1" outlineLevel="0" r="165">
      <c r="A165" s="5" t="s">
        <f>=HYPERLINK("https://www.leilaoonline.com.br/lote/detalhe/294881", "35178")</f>
      </c>
      <c r="B165" s="4" t="s">
        <f>=HYPERLINK("https://www.leilaoonline.com.br/lote/detalhe/294881", "REBOQUE RANDON SP RQ CA - ANO 2012/2012 - AZUL - FR121537 - LOC. SANTA ELISA   ")</f>
      </c>
      <c r="C165" s="4" t="inlineStr">
        <is>
          <t>Não vendido</t>
        </is>
      </c>
      <c r="D165" s="4" t="inlineStr">
        <is>
          <t>42</t>
        </is>
      </c>
      <c r="E165" s="5" t="inlineStr">
        <is>
          <t>61.000,00</t>
        </is>
      </c>
      <c r="F165" s="4" t="inlineStr">
        <is>
          <t>1000.00</t>
        </is>
      </c>
    </row>
    <row collapsed="false" customFormat="false" customHeight="false" hidden="false" ht="12.1" outlineLevel="0" r="166">
      <c r="A166" s="5" t="s">
        <f>=HYPERLINK("https://www.leilaoonline.com.br/lote/detalhe/294877", "35179")</f>
      </c>
      <c r="B166" s="4" t="s">
        <f>=HYPERLINK("https://www.leilaoonline.com.br/lote/detalhe/294877", "REBOQUE RANDON SP RQ CA - ANO 2012/2012 - AZUL - FR121528 - LOC. SANTA ELISA  ")</f>
      </c>
      <c r="C166" s="4" t="inlineStr">
        <is>
          <t>Não vendido</t>
        </is>
      </c>
      <c r="D166" s="4" t="inlineStr">
        <is>
          <t>45</t>
        </is>
      </c>
      <c r="E166" s="5" t="inlineStr">
        <is>
          <t>65.000,00</t>
        </is>
      </c>
      <c r="F166" s="4" t="inlineStr">
        <is>
          <t>1000.00</t>
        </is>
      </c>
    </row>
    <row collapsed="false" customFormat="false" customHeight="false" hidden="false" ht="12.1" outlineLevel="0" r="167">
      <c r="A167" s="5" t="s">
        <f>=HYPERLINK("https://www.leilaoonline.com.br/lote/detalhe/294869", "35180")</f>
      </c>
      <c r="B167" s="4" t="s">
        <f>=HYPERLINK("https://www.leilaoonline.com.br/lote/detalhe/294869", "MOTOBOMBA OM 352 - ANO 2010 - FR14005049 - LOC. SANTA ELISA   ")</f>
      </c>
      <c r="C167" s="4" t="inlineStr">
        <is>
          <t>Vendido</t>
        </is>
      </c>
      <c r="D167" s="4" t="inlineStr">
        <is>
          <t>28</t>
        </is>
      </c>
      <c r="E167" s="5" t="inlineStr">
        <is>
          <t>22.000,00</t>
        </is>
      </c>
      <c r="F167" s="4" t="inlineStr">
        <is>
          <t>1000.00</t>
        </is>
      </c>
    </row>
    <row collapsed="false" customFormat="false" customHeight="false" hidden="false" ht="12.1" outlineLevel="0" r="168">
      <c r="A168" s="5" t="s">
        <f>=HYPERLINK("https://www.leilaoonline.com.br/lote/detalhe/294868", "35181")</f>
      </c>
      <c r="B168" s="4" t="s">
        <f>=HYPERLINK("https://www.leilaoonline.com.br/lote/detalhe/294868", "MOTO BOMBA OM 352 - ANO 2008 - FR14005047 - LOC. SANTA ELISA     ")</f>
      </c>
      <c r="C168" s="4" t="inlineStr">
        <is>
          <t>Vendido</t>
        </is>
      </c>
      <c r="D168" s="4" t="inlineStr">
        <is>
          <t>55</t>
        </is>
      </c>
      <c r="E168" s="5" t="inlineStr">
        <is>
          <t>40.500,00</t>
        </is>
      </c>
      <c r="F168" s="4" t="inlineStr">
        <is>
          <t>1000.00</t>
        </is>
      </c>
    </row>
    <row collapsed="false" customFormat="false" customHeight="false" hidden="false" ht="12.1" outlineLevel="0" r="169">
      <c r="A169" s="5" t="s">
        <f>=HYPERLINK("https://www.leilaoonline.com.br/lote/detalhe/294866", "35182")</f>
      </c>
      <c r="B169" s="4" t="s">
        <f>=HYPERLINK("https://www.leilaoonline.com.br/lote/detalhe/294866", "MOTOBOMBA OM 447 -A - ANO 2007 - FR14005042 - (SEM MOTOR) - LOC. SANTA ELISA     ")</f>
      </c>
      <c r="C169" s="4" t="inlineStr">
        <is>
          <t>Vendido</t>
        </is>
      </c>
      <c r="D169" s="4" t="inlineStr">
        <is>
          <t>42</t>
        </is>
      </c>
      <c r="E169" s="5" t="inlineStr">
        <is>
          <t>31.000,00</t>
        </is>
      </c>
      <c r="F169" s="4" t="inlineStr">
        <is>
          <t>1000.00</t>
        </is>
      </c>
    </row>
    <row collapsed="false" customFormat="false" customHeight="false" hidden="false" ht="12.1" outlineLevel="0" r="170">
      <c r="A170" s="5" t="s">
        <f>=HYPERLINK("https://www.leilaoonline.com.br/lote/detalhe/294865", "35183")</f>
      </c>
      <c r="B170" s="4" t="s">
        <f>=HYPERLINK("https://www.leilaoonline.com.br/lote/detalhe/294865", "MOTOBOMBA MWM 6.12 TCA - ANO 2006 - FR8005017 - LOC. SANTA ELISA  ")</f>
      </c>
      <c r="C170" s="4" t="inlineStr">
        <is>
          <t>Vendido</t>
        </is>
      </c>
      <c r="D170" s="4" t="inlineStr">
        <is>
          <t>12</t>
        </is>
      </c>
      <c r="E170" s="5" t="inlineStr">
        <is>
          <t>20.000,00</t>
        </is>
      </c>
      <c r="F170" s="4" t="inlineStr">
        <is>
          <t>1000.00</t>
        </is>
      </c>
    </row>
    <row collapsed="false" customFormat="false" customHeight="false" hidden="false" ht="12.1" outlineLevel="0" r="171">
      <c r="A171" s="5" t="s">
        <f>=HYPERLINK("https://www.leilaoonline.com.br/lote/detalhe/294627", "35184")</f>
      </c>
      <c r="B171" s="4" t="s">
        <f>=HYPERLINK("https://www.leilaoonline.com.br/lote/detalhe/294627", "SUCATA DE TRATOR CASE PUMA 140 4X4 - ANO 2017 - FR14802275 - LOC. SANTA ELISA   ")</f>
      </c>
      <c r="C171" s="4" t="inlineStr">
        <is>
          <t>Vendido</t>
        </is>
      </c>
      <c r="D171" s="4" t="inlineStr">
        <is>
          <t>63</t>
        </is>
      </c>
      <c r="E171" s="5" t="inlineStr">
        <is>
          <t>73.000,00</t>
        </is>
      </c>
      <c r="F171" s="4" t="inlineStr">
        <is>
          <t>1000.00</t>
        </is>
      </c>
    </row>
    <row collapsed="false" customFormat="false" customHeight="false" hidden="false" ht="12.1" outlineLevel="0" r="172">
      <c r="A172" s="5" t="s">
        <f>=HYPERLINK("https://www.leilaoonline.com.br/lote/detalhe/294629", "35185")</f>
      </c>
      <c r="B172" s="4" t="s">
        <f>=HYPERLINK("https://www.leilaoonline.com.br/lote/detalhe/294629", "MOTO BOMBA MWM D229/6 - ANO 1989 - FR14005032 - LOC. SANTA ELISA       ")</f>
      </c>
      <c r="C172" s="4" t="inlineStr">
        <is>
          <t>Vendido</t>
        </is>
      </c>
      <c r="D172" s="4" t="inlineStr">
        <is>
          <t>23</t>
        </is>
      </c>
      <c r="E172" s="5" t="inlineStr">
        <is>
          <t>16.000,00</t>
        </is>
      </c>
      <c r="F172" s="4" t="inlineStr">
        <is>
          <t>500.00</t>
        </is>
      </c>
    </row>
    <row collapsed="false" customFormat="false" customHeight="false" hidden="false" ht="12.1" outlineLevel="0" r="173">
      <c r="A173" s="5" t="s">
        <f>=HYPERLINK("https://www.leilaoonline.com.br/lote/detalhe/294624", "35186")</f>
      </c>
      <c r="B173" s="4" t="s">
        <f>=HYPERLINK("https://www.leilaoonline.com.br/lote/detalhe/294624", "QUADRICICLO HONDA TRX 420 - ANO 2014 - FR14006025 - LOC. SANTA ELISA ")</f>
      </c>
      <c r="C173" s="4" t="inlineStr">
        <is>
          <t>Vendido</t>
        </is>
      </c>
      <c r="D173" s="4" t="inlineStr">
        <is>
          <t>36</t>
        </is>
      </c>
      <c r="E173" s="5" t="inlineStr">
        <is>
          <t>27.500,00</t>
        </is>
      </c>
      <c r="F173" s="4" t="inlineStr">
        <is>
          <t>500.00</t>
        </is>
      </c>
    </row>
    <row collapsed="false" customFormat="false" customHeight="false" hidden="false" ht="12.1" outlineLevel="0" r="174">
      <c r="A174" s="5" t="s">
        <f>=HYPERLINK("https://www.leilaoonline.com.br/lote/detalhe/294622", "35187")</f>
      </c>
      <c r="B174" s="4" t="s">
        <f>=HYPERLINK("https://www.leilaoonline.com.br/lote/detalhe/294622", "HIDRO ROLL CARRETA ROLÃO COM MOTOR - ANO 2005 - FR14003027 - LOC. SANTA ELISA ")</f>
      </c>
      <c r="C174" s="4" t="inlineStr">
        <is>
          <t>Vendido</t>
        </is>
      </c>
      <c r="D174" s="4" t="inlineStr">
        <is>
          <t>19</t>
        </is>
      </c>
      <c r="E174" s="5" t="inlineStr">
        <is>
          <t>18.500,00</t>
        </is>
      </c>
      <c r="F174" s="4" t="inlineStr">
        <is>
          <t>500.00</t>
        </is>
      </c>
    </row>
    <row collapsed="false" customFormat="false" customHeight="false" hidden="false" ht="12.1" outlineLevel="0" r="175">
      <c r="A175" s="5" t="s">
        <f>=HYPERLINK("https://www.leilaoonline.com.br/lote/detalhe/294621", "35188")</f>
      </c>
      <c r="B175" s="4" t="s">
        <f>=HYPERLINK("https://www.leilaoonline.com.br/lote/detalhe/294621", "SEMI REBOQUE RODOVIÁRIA SR BS TQ - ANO 1994/1994 - AZUL - FR14004151 - (TANQUE DE FIBRA) - (CAVALO NÃO FAZ PARTE DO LOTE) - LOC. SANTA ELISA   ")</f>
      </c>
      <c r="C175" s="4" t="inlineStr">
        <is>
          <t>Vendido</t>
        </is>
      </c>
      <c r="D175" s="4" t="inlineStr">
        <is>
          <t>41</t>
        </is>
      </c>
      <c r="E175" s="5" t="inlineStr">
        <is>
          <t>60.000,00</t>
        </is>
      </c>
      <c r="F175" s="4" t="inlineStr">
        <is>
          <t>1000.00</t>
        </is>
      </c>
    </row>
    <row collapsed="false" customFormat="false" customHeight="false" hidden="false" ht="12.1" outlineLevel="0" r="176">
      <c r="A176" s="5" t="s">
        <f>=HYPERLINK("https://www.leilaoonline.com.br/lote/detalhe/294620", "35189")</f>
      </c>
      <c r="B176" s="4" t="s">
        <f>=HYPERLINK("https://www.leilaoonline.com.br/lote/detalhe/294620", "TRANSBORDO CIVEMASA TAC 13000 - ANO 2008 - FR5004796 - LOC. SANTA ELISA ")</f>
      </c>
      <c r="C176" s="4" t="inlineStr">
        <is>
          <t>Vendido</t>
        </is>
      </c>
      <c r="D176" s="4" t="inlineStr">
        <is>
          <t>10</t>
        </is>
      </c>
      <c r="E176" s="5" t="inlineStr">
        <is>
          <t>19.000,00</t>
        </is>
      </c>
      <c r="F176" s="4" t="inlineStr">
        <is>
          <t>1000.00</t>
        </is>
      </c>
    </row>
    <row collapsed="false" customFormat="false" customHeight="false" hidden="false" ht="12.1" outlineLevel="0" r="177">
      <c r="A177" s="5" t="s">
        <f>=HYPERLINK("https://www.leilaoonline.com.br/lote/detalhe/294619", "35190")</f>
      </c>
      <c r="B177" s="4" t="s">
        <f>=HYPERLINK("https://www.leilaoonline.com.br/lote/detalhe/294619", "TRANSBORDO SANTAL VT 10T - ANO 2011 - FR14003537 - LOC. SANTA ELISA ")</f>
      </c>
      <c r="C177" s="4" t="inlineStr">
        <is>
          <t>Vendido</t>
        </is>
      </c>
      <c r="D177" s="4" t="inlineStr">
        <is>
          <t>11</t>
        </is>
      </c>
      <c r="E177" s="5" t="inlineStr">
        <is>
          <t>20.000,00</t>
        </is>
      </c>
      <c r="F177" s="4" t="inlineStr">
        <is>
          <t>1000.00</t>
        </is>
      </c>
    </row>
    <row collapsed="false" customFormat="false" customHeight="false" hidden="false" ht="12.1" outlineLevel="0" r="178">
      <c r="A178" s="5" t="s">
        <f>=HYPERLINK("https://www.leilaoonline.com.br/lote/detalhe/294618", "35191")</f>
      </c>
      <c r="B178" s="4" t="s">
        <f>=HYPERLINK("https://www.leilaoonline.com.br/lote/detalhe/294618", "TRANSBORDO CIVEMASA TAC 13000 - ANO 2008 - FR9004037 - LOC. SANTA ELISA ")</f>
      </c>
      <c r="C178" s="4" t="inlineStr">
        <is>
          <t>Vendido</t>
        </is>
      </c>
      <c r="D178" s="4" t="inlineStr">
        <is>
          <t>10</t>
        </is>
      </c>
      <c r="E178" s="5" t="inlineStr">
        <is>
          <t>19.000,00</t>
        </is>
      </c>
      <c r="F178" s="4" t="inlineStr">
        <is>
          <t>1000.00</t>
        </is>
      </c>
    </row>
    <row collapsed="false" customFormat="false" customHeight="false" hidden="false" ht="12.1" outlineLevel="0" r="179">
      <c r="A179" s="5" t="s">
        <f>=HYPERLINK("https://www.leilaoonline.com.br/lote/detalhe/294616", "35192")</f>
      </c>
      <c r="B179" s="4" t="s">
        <f>=HYPERLINK("https://www.leilaoonline.com.br/lote/detalhe/294616", "TRANSBORDO CIVEMASA TAC 13000 - ANO 2008 - FR9004107 - LOC. SANTA ELISA ")</f>
      </c>
      <c r="C179" s="4" t="inlineStr">
        <is>
          <t>Vendido</t>
        </is>
      </c>
      <c r="D179" s="4" t="inlineStr">
        <is>
          <t>10</t>
        </is>
      </c>
      <c r="E179" s="5" t="inlineStr">
        <is>
          <t>19.000,00</t>
        </is>
      </c>
      <c r="F179" s="4" t="inlineStr">
        <is>
          <t>1000.00</t>
        </is>
      </c>
    </row>
    <row collapsed="false" customFormat="false" customHeight="false" hidden="false" ht="12.1" outlineLevel="0" r="180">
      <c r="A180" s="5" t="s">
        <f>=HYPERLINK("https://www.leilaoonline.com.br/lote/detalhe/294614", "35193")</f>
      </c>
      <c r="B180" s="4" t="s">
        <f>=HYPERLINK("https://www.leilaoonline.com.br/lote/detalhe/294614", "SUCATA DE REBOQUE FACCHINI RFRBC - ANO 1997/1997 - CINZA - FR13004119 - (VENDA SEM DOCUMENTO) - LOC. SANTA ELISA  ")</f>
      </c>
      <c r="C180" s="4" t="inlineStr">
        <is>
          <t>Vendido</t>
        </is>
      </c>
      <c r="D180" s="4" t="inlineStr">
        <is>
          <t>23</t>
        </is>
      </c>
      <c r="E180" s="5" t="inlineStr">
        <is>
          <t>16.000,00</t>
        </is>
      </c>
      <c r="F180" s="4" t="inlineStr">
        <is>
          <t>500.00</t>
        </is>
      </c>
    </row>
    <row collapsed="false" customFormat="false" customHeight="false" hidden="false" ht="12.1" outlineLevel="0" r="181">
      <c r="A181" s="5" t="s">
        <f>=HYPERLINK("https://www.leilaoonline.com.br/lote/detalhe/294612", "35194")</f>
      </c>
      <c r="B181" s="4" t="s">
        <f>=HYPERLINK("https://www.leilaoonline.com.br/lote/detalhe/294612", "SUCATA DE REBOQUE RODOVIÁRIA RQ CI PR - ANO 1989/1989 - VERDE - FR11004011 - (ÁREA DE VIVÊNCIA) - (VENDA SEM DOCUMENTO) - LOC. SANTA ELISA ")</f>
      </c>
      <c r="C181" s="4" t="inlineStr">
        <is>
          <t>Vendido</t>
        </is>
      </c>
      <c r="D181" s="4" t="inlineStr">
        <is>
          <t>22</t>
        </is>
      </c>
      <c r="E181" s="5" t="inlineStr">
        <is>
          <t>15.500,00</t>
        </is>
      </c>
      <c r="F181" s="4" t="inlineStr">
        <is>
          <t>500.00</t>
        </is>
      </c>
    </row>
    <row collapsed="false" customFormat="false" customHeight="false" hidden="false" ht="12.1" outlineLevel="0" r="182">
      <c r="A182" s="5" t="s">
        <f>=HYPERLINK("https://www.leilaoonline.com.br/lote/detalhe/294610", "35195")</f>
      </c>
      <c r="B182" s="4" t="s">
        <f>=HYPERLINK("https://www.leilaoonline.com.br/lote/detalhe/294610", "COLHEDORA CASE A 8810 1L - ANO 2019 - FR14002164 - LOC. SANTA ELISA")</f>
      </c>
      <c r="C182" s="4" t="inlineStr">
        <is>
          <t>Vendido</t>
        </is>
      </c>
      <c r="D182" s="4" t="inlineStr">
        <is>
          <t>43</t>
        </is>
      </c>
      <c r="E182" s="5" t="inlineStr">
        <is>
          <t>178.000,00</t>
        </is>
      </c>
      <c r="F182" s="4" t="inlineStr">
        <is>
          <t>2000.00</t>
        </is>
      </c>
    </row>
    <row collapsed="false" customFormat="false" customHeight="false" hidden="false" ht="12.1" outlineLevel="0" r="183">
      <c r="A183" s="5" t="s">
        <f>=HYPERLINK("https://www.leilaoonline.com.br/lote/detalhe/294608", "35196")</f>
      </c>
      <c r="B183" s="4" t="s">
        <f>=HYPERLINK("https://www.leilaoonline.com.br/lote/detalhe/294608", "COLHEDORA CASE A 8810 1L - ANO 2019 - FR14002157 - LOC. SANTA ELISA")</f>
      </c>
      <c r="C183" s="4" t="inlineStr">
        <is>
          <t>Vendido</t>
        </is>
      </c>
      <c r="D183" s="4" t="inlineStr">
        <is>
          <t>24</t>
        </is>
      </c>
      <c r="E183" s="5" t="inlineStr">
        <is>
          <t>178.000,00</t>
        </is>
      </c>
      <c r="F183" s="4" t="inlineStr">
        <is>
          <t>2000.00</t>
        </is>
      </c>
    </row>
    <row collapsed="false" customFormat="false" customHeight="false" hidden="false" ht="12.1" outlineLevel="0" r="184">
      <c r="A184" s="5" t="s">
        <f>=HYPERLINK("https://www.leilaoonline.com.br/lote/detalhe/294607", "35197")</f>
      </c>
      <c r="B184" s="4" t="s">
        <f>=HYPERLINK("https://www.leilaoonline.com.br/lote/detalhe/294607", "COLHEDORA CASE A 8810 1L - ANO 2019 - FR14002161 - LOC. SANTA ELISA")</f>
      </c>
      <c r="C184" s="4" t="inlineStr">
        <is>
          <t>Não vendido</t>
        </is>
      </c>
      <c r="D184" s="4" t="inlineStr">
        <is>
          <t>20</t>
        </is>
      </c>
      <c r="E184" s="5" t="inlineStr">
        <is>
          <t>180.000,00</t>
        </is>
      </c>
      <c r="F184" s="4" t="inlineStr">
        <is>
          <t>2000.00</t>
        </is>
      </c>
    </row>
    <row collapsed="false" customFormat="false" customHeight="false" hidden="false" ht="12.1" outlineLevel="0" r="185">
      <c r="A185" s="5" t="s">
        <f>=HYPERLINK("https://www.leilaoonline.com.br/lote/detalhe/294606", "35198")</f>
      </c>
      <c r="B185" s="4" t="s">
        <f>=HYPERLINK("https://www.leilaoonline.com.br/lote/detalhe/294606", "COLHEDORA CASE A 8810 1L - ANO 2019 - FR14002163 - LOC. SANTA ELISA ")</f>
      </c>
      <c r="C185" s="4" t="inlineStr">
        <is>
          <t>Vendido</t>
        </is>
      </c>
      <c r="D185" s="4" t="inlineStr">
        <is>
          <t>84</t>
        </is>
      </c>
      <c r="E185" s="5" t="inlineStr">
        <is>
          <t>191.000,00</t>
        </is>
      </c>
      <c r="F185" s="4" t="inlineStr">
        <is>
          <t>2000.00</t>
        </is>
      </c>
    </row>
    <row collapsed="false" customFormat="false" customHeight="false" hidden="false" ht="12.1" outlineLevel="0" r="186">
      <c r="A186" s="5" t="s">
        <f>=HYPERLINK("https://www.leilaoonline.com.br/lote/detalhe/296348", "35231")</f>
      </c>
      <c r="B186" s="4" t="s">
        <f>=HYPERLINK("https://www.leilaoonline.com.br/lote/detalhe/296348", " DISTRIBUIDORA DE TORTA FILTRO ATA 1102 - ANO 2018 - FR57372 - (PÁTIO MOENDA) - LOC. BOM RETIRO")</f>
      </c>
      <c r="C186" s="4" t="inlineStr">
        <is>
          <t>Não vendido</t>
        </is>
      </c>
      <c r="D186" s="4" t="inlineStr">
        <is>
          <t>3</t>
        </is>
      </c>
      <c r="E186" s="5" t="inlineStr">
        <is>
          <t>6.000,00</t>
        </is>
      </c>
      <c r="F186" s="4" t="inlineStr">
        <is>
          <t>500.00</t>
        </is>
      </c>
    </row>
    <row collapsed="false" customFormat="false" customHeight="false" hidden="false" ht="12.1" outlineLevel="0" r="187">
      <c r="A187" s="5" t="s">
        <f>=HYPERLINK("https://www.leilaoonline.com.br/lote/detalhe/296346", "35233")</f>
      </c>
      <c r="B187" s="4" t="s">
        <f>=HYPERLINK("https://www.leilaoonline.com.br/lote/detalhe/296346", " CARRETA DISTRIBUIDORA DE TORTA SPANDER - ANO 2011 - FR57307 - (PÁTIO MOENDA) - LOC. BOM RETIRO")</f>
      </c>
      <c r="C187" s="4" t="inlineStr">
        <is>
          <t>Não vendido</t>
        </is>
      </c>
      <c r="D187" s="4" t="inlineStr">
        <is>
          <t>1</t>
        </is>
      </c>
      <c r="E187" s="5" t="inlineStr">
        <is>
          <t>3.500,00</t>
        </is>
      </c>
      <c r="F187" s="4" t="inlineStr">
        <is>
          <t>500.00</t>
        </is>
      </c>
    </row>
    <row collapsed="false" customFormat="false" customHeight="false" hidden="false" ht="12.1" outlineLevel="0" r="188">
      <c r="A188" s="5" t="s">
        <f>=HYPERLINK("https://www.leilaoonline.com.br/lote/detalhe/292807", "35236")</f>
      </c>
      <c r="B188" s="4" t="s">
        <f>=HYPERLINK("https://www.leilaoonline.com.br/lote/detalhe/292807", " PONTE ROLANTE 15 TON.; 12 METROS - (BARRACÃO MOENDA) - LOC. BOM RETIRO")</f>
      </c>
      <c r="C188" s="4" t="inlineStr">
        <is>
          <t>Não vendido</t>
        </is>
      </c>
      <c r="D188" s="4" t="inlineStr">
        <is>
          <t>20</t>
        </is>
      </c>
      <c r="E188" s="5" t="inlineStr">
        <is>
          <t>29.000,00</t>
        </is>
      </c>
      <c r="F188" s="4" t="inlineStr">
        <is>
          <t>1000.00</t>
        </is>
      </c>
    </row>
    <row collapsed="false" customFormat="false" customHeight="false" hidden="false" ht="12.1" outlineLevel="0" r="189">
      <c r="A189" s="5" t="s">
        <f>=HYPERLINK("https://www.leilaoonline.com.br/lote/detalhe/292866", "35264")</f>
      </c>
      <c r="B189" s="4" t="s">
        <f>=HYPERLINK("https://www.leilaoonline.com.br/lote/detalhe/292866", "CARRETA DISTRIBUIDORA DE TORTA FILTRO ATA1102 - FR57371 - (PÁTIO IMPLEMENTO) - LOC. MUNDIAL")</f>
      </c>
      <c r="C189" s="4" t="inlineStr">
        <is>
          <t>Não vendido</t>
        </is>
      </c>
      <c r="D189" s="4" t="inlineStr">
        <is>
          <t>2</t>
        </is>
      </c>
      <c r="E189" s="5" t="inlineStr">
        <is>
          <t>5.500,00</t>
        </is>
      </c>
      <c r="F189" s="4" t="inlineStr">
        <is>
          <t>500.00</t>
        </is>
      </c>
    </row>
    <row collapsed="false" customFormat="false" customHeight="false" hidden="false" ht="12.1" outlineLevel="0" r="190">
      <c r="A190" s="5" t="s">
        <f>=HYPERLINK("https://www.leilaoonline.com.br/lote/detalhe/292864", "35284")</f>
      </c>
      <c r="B190" s="4" t="s">
        <f>=HYPERLINK("https://www.leilaoonline.com.br/lote/detalhe/292864", " DISTRIBUIDOR TORTA FILTRO ATA1102 - ANO 2018 - FR38074 - (PÁTIO AGRICOLA) - LOC. BENÁLCOOL")</f>
      </c>
      <c r="C190" s="4" t="inlineStr">
        <is>
          <t>Não vendido</t>
        </is>
      </c>
      <c r="D190" s="4" t="inlineStr">
        <is>
          <t>20</t>
        </is>
      </c>
      <c r="E190" s="5" t="inlineStr">
        <is>
          <t>5.500,00</t>
        </is>
      </c>
      <c r="F190" s="4" t="inlineStr">
        <is>
          <t>500.00</t>
        </is>
      </c>
    </row>
    <row collapsed="false" customFormat="false" customHeight="false" hidden="false" ht="12.1" outlineLevel="0" r="191">
      <c r="A191" s="5" t="s">
        <f>=HYPERLINK("https://www.leilaoonline.com.br/lote/detalhe/295101", "35285")</f>
      </c>
      <c r="B191" s="4" t="s">
        <f>=HYPERLINK("https://www.leilaoonline.com.br/lote/detalhe/295101", " DESENLEIRADOR PALHA CARDEROLI - ANO 2014 - FR84692 - (PÁTIO AGRÍCOLA) - LOC. BENÁLCOOL")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1.000,00</t>
        </is>
      </c>
      <c r="F191" s="4" t="inlineStr">
        <is>
          <t>150.00</t>
        </is>
      </c>
    </row>
    <row collapsed="false" customFormat="false" customHeight="false" hidden="false" ht="12.1" outlineLevel="0" r="192">
      <c r="A192" s="5" t="s">
        <f>=HYPERLINK("https://www.leilaoonline.com.br/lote/detalhe/292865", "35292")</f>
      </c>
      <c r="B192" s="4" t="s">
        <f>=HYPERLINK("https://www.leilaoonline.com.br/lote/detalhe/292865", "GERADOR VOLVO DIESEL 450 KVA STEMAC ST 2000 - PAT.79700 - (PPCM INDUSTRIAL ) - LOC. DESTIVALE")</f>
      </c>
      <c r="C192" s="4" t="inlineStr">
        <is>
          <t>Vendido</t>
        </is>
      </c>
      <c r="D192" s="4" t="inlineStr">
        <is>
          <t>72</t>
        </is>
      </c>
      <c r="E192" s="5" t="inlineStr">
        <is>
          <t>102.000,00</t>
        </is>
      </c>
      <c r="F192" s="4" t="inlineStr">
        <is>
          <t>1000.00</t>
        </is>
      </c>
    </row>
    <row collapsed="false" customFormat="false" customHeight="false" hidden="false" ht="12.1" outlineLevel="0" r="193">
      <c r="A193" s="5" t="s">
        <f>=HYPERLINK("https://www.leilaoonline.com.br/lote/detalhe/295100", "35293")</f>
      </c>
      <c r="B193" s="4" t="s">
        <f>=HYPERLINK("https://www.leilaoonline.com.br/lote/detalhe/295100", " COMPRESSOR DE AR SCHULZ SRS 240 - ANO 2011 - PAT. 186334 - (PPCM INDUSTRIAL) - LOC. DESTIVALE")</f>
      </c>
      <c r="C193" s="4" t="inlineStr">
        <is>
          <t>Vendido</t>
        </is>
      </c>
      <c r="D193" s="4" t="inlineStr">
        <is>
          <t>6</t>
        </is>
      </c>
      <c r="E193" s="5" t="inlineStr">
        <is>
          <t>3.250,00</t>
        </is>
      </c>
      <c r="F193" s="4" t="inlineStr">
        <is>
          <t>250.00</t>
        </is>
      </c>
    </row>
    <row collapsed="false" customFormat="false" customHeight="false" hidden="false" ht="12.1" outlineLevel="0" r="194">
      <c r="A194" s="5" t="s">
        <f>=HYPERLINK("https://www.leilaoonline.com.br/lote/detalhe/292667", "35301")</f>
      </c>
      <c r="B194" s="4" t="s">
        <f>=HYPERLINK("https://www.leilaoonline.com.br/lote/detalhe/292667", "CAMINHÃO VOLKSWAGEN 8.120; ANO 2002/2002; BRANCA. - FR11001042. - LOC. VALE DO ROSÁRIO  ")</f>
      </c>
      <c r="C194" s="4" t="inlineStr">
        <is>
          <t>Vendido</t>
        </is>
      </c>
      <c r="D194" s="4" t="inlineStr">
        <is>
          <t>36</t>
        </is>
      </c>
      <c r="E194" s="5" t="inlineStr">
        <is>
          <t>67.500,00</t>
        </is>
      </c>
      <c r="F194" s="4" t="inlineStr">
        <is>
          <t>1000.00</t>
        </is>
      </c>
    </row>
    <row collapsed="false" customFormat="false" customHeight="false" hidden="false" ht="12.1" outlineLevel="0" r="195">
      <c r="A195" s="5" t="s">
        <f>=HYPERLINK("https://www.leilaoonline.com.br/lote/detalhe/292663", "35302")</f>
      </c>
      <c r="B195" s="4" t="s">
        <f>=HYPERLINK("https://www.leilaoonline.com.br/lote/detalhe/292663", " CAMINHÃO VOLKSWAGEN 13.180 EURO3 WORKER; ANO 2006/2007; BRANCA, - FR11001102. - LOC. VALE DO ROSARIO ")</f>
      </c>
      <c r="C195" s="4" t="inlineStr">
        <is>
          <t>Vendido</t>
        </is>
      </c>
      <c r="D195" s="4" t="inlineStr">
        <is>
          <t>55</t>
        </is>
      </c>
      <c r="E195" s="5" t="inlineStr">
        <is>
          <t>101.000,00</t>
        </is>
      </c>
      <c r="F195" s="4" t="inlineStr">
        <is>
          <t>1000.00</t>
        </is>
      </c>
    </row>
    <row collapsed="false" customFormat="false" customHeight="false" hidden="false" ht="12.1" outlineLevel="0" r="196">
      <c r="A196" s="5" t="s">
        <f>=HYPERLINK("https://www.leilaoonline.com.br/lote/detalhe/292672", "35303")</f>
      </c>
      <c r="B196" s="4" t="s">
        <f>=HYPERLINK("https://www.leilaoonline.com.br/lote/detalhe/292672", "CAMINHÃO VOLKSWAGEN 13.150; ANO 2004/2005; BRANCA. - FR11001060. - LOC.VALE DO ROSARIO ")</f>
      </c>
      <c r="C196" s="4" t="inlineStr">
        <is>
          <t>Vendido</t>
        </is>
      </c>
      <c r="D196" s="4" t="inlineStr">
        <is>
          <t>83</t>
        </is>
      </c>
      <c r="E196" s="5" t="inlineStr">
        <is>
          <t>104.000,00</t>
        </is>
      </c>
      <c r="F196" s="4" t="inlineStr">
        <is>
          <t>1000.00</t>
        </is>
      </c>
    </row>
    <row collapsed="false" customFormat="false" customHeight="false" hidden="false" ht="12.1" outlineLevel="0" r="197">
      <c r="A197" s="5" t="s">
        <f>=HYPERLINK("https://www.leilaoonline.com.br/lote/detalhe/292673", "35304")</f>
      </c>
      <c r="B197" s="4" t="s">
        <f>=HYPERLINK("https://www.leilaoonline.com.br/lote/detalhe/292673", "CAMINHÃO VOLKSWAGEN 31.320 CNC 6X4; ANO 2011/2012; BRANCA. - FR131219. - LOC. VALE DO ROSARIO ")</f>
      </c>
      <c r="C197" s="4" t="inlineStr">
        <is>
          <t>Não vendido</t>
        </is>
      </c>
      <c r="D197" s="4" t="inlineStr">
        <is>
          <t>63</t>
        </is>
      </c>
      <c r="E197" s="5" t="inlineStr">
        <is>
          <t>164.000,00</t>
        </is>
      </c>
      <c r="F197" s="4" t="inlineStr">
        <is>
          <t>2000.00</t>
        </is>
      </c>
    </row>
    <row collapsed="false" customFormat="false" customHeight="false" hidden="false" ht="12.1" outlineLevel="0" r="198">
      <c r="A198" s="5" t="s">
        <f>=HYPERLINK("https://www.leilaoonline.com.br/lote/detalhe/292668", "35306")</f>
      </c>
      <c r="B198" s="4" t="s">
        <f>=HYPERLINK("https://www.leilaoonline.com.br/lote/detalhe/292668", "TRANSBORDO CIVEMASA TAC 13000; ANO 2008. - FR9004006. - LOC. VALE DO ROSÁRIO ")</f>
      </c>
      <c r="C198" s="4" t="inlineStr">
        <is>
          <t>Vendido</t>
        </is>
      </c>
      <c r="D198" s="4" t="inlineStr">
        <is>
          <t>1</t>
        </is>
      </c>
      <c r="E198" s="5" t="inlineStr">
        <is>
          <t>10.000,00</t>
        </is>
      </c>
      <c r="F198" s="4" t="inlineStr">
        <is>
          <t>1000.00</t>
        </is>
      </c>
    </row>
    <row collapsed="false" customFormat="false" customHeight="false" hidden="false" ht="12.1" outlineLevel="0" r="199">
      <c r="A199" s="5" t="s">
        <f>=HYPERLINK("https://www.leilaoonline.com.br/lote/detalhe/292664", "35307")</f>
      </c>
      <c r="B199" s="4" t="s">
        <f>=HYPERLINK("https://www.leilaoonline.com.br/lote/detalhe/292664", "TRANSBORDO CIVEMASA TAC 13000 - ANO 2008 - FR9004086. - LOC. VALE DO ROSÁRIO ")</f>
      </c>
      <c r="C199" s="4" t="inlineStr">
        <is>
          <t>Vendido</t>
        </is>
      </c>
      <c r="D199" s="4" t="inlineStr">
        <is>
          <t>1</t>
        </is>
      </c>
      <c r="E199" s="5" t="inlineStr">
        <is>
          <t>10.000,00</t>
        </is>
      </c>
      <c r="F199" s="4" t="inlineStr">
        <is>
          <t>1000.00</t>
        </is>
      </c>
    </row>
    <row collapsed="false" customFormat="false" customHeight="false" hidden="false" ht="12.1" outlineLevel="0" r="200">
      <c r="A200" s="5" t="s">
        <f>=HYPERLINK("https://www.leilaoonline.com.br/lote/detalhe/292678", "35308")</f>
      </c>
      <c r="B200" s="4" t="s">
        <f>=HYPERLINK("https://www.leilaoonline.com.br/lote/detalhe/292678", "CARRETA  GASCOM. - ANO 2015 - FR102301. - LOC. VALE DO ROSÁRIO ")</f>
      </c>
      <c r="C200" s="4" t="inlineStr">
        <is>
          <t>Vendido</t>
        </is>
      </c>
      <c r="D200" s="4" t="inlineStr">
        <is>
          <t>40</t>
        </is>
      </c>
      <c r="E200" s="5" t="inlineStr">
        <is>
          <t>37.500,00</t>
        </is>
      </c>
      <c r="F200" s="4" t="inlineStr">
        <is>
          <t>1000.00</t>
        </is>
      </c>
    </row>
    <row collapsed="false" customFormat="false" customHeight="false" hidden="false" ht="12.1" outlineLevel="0" r="201">
      <c r="A201" s="5" t="s">
        <f>=HYPERLINK("https://www.leilaoonline.com.br/lote/detalhe/292671", "35309")</f>
      </c>
      <c r="B201" s="4" t="s">
        <f>=HYPERLINK("https://www.leilaoonline.com.br/lote/detalhe/292671", "CARRETA DE COMBATE A INCÊNDIO F01; ANO 2011; SÉRIE 22524.- LOC. VALE DO ROSÁRIO ")</f>
      </c>
      <c r="C201" s="4" t="inlineStr">
        <is>
          <t>Vendido</t>
        </is>
      </c>
      <c r="D201" s="4" t="inlineStr">
        <is>
          <t>36</t>
        </is>
      </c>
      <c r="E201" s="5" t="inlineStr">
        <is>
          <t>31.000,00</t>
        </is>
      </c>
      <c r="F201" s="4" t="inlineStr">
        <is>
          <t>1000.00</t>
        </is>
      </c>
    </row>
    <row collapsed="false" customFormat="false" customHeight="false" hidden="false" ht="12.1" outlineLevel="0" r="202">
      <c r="A202" s="5" t="s">
        <f>=HYPERLINK("https://www.leilaoonline.com.br/lote/detalhe/292669", "35310")</f>
      </c>
      <c r="B202" s="4" t="s">
        <f>=HYPERLINK("https://www.leilaoonline.com.br/lote/detalhe/292669", "CARRETA TANQUE F-05. - S/FR. - LOC. VALE DO ROSÁRIO ")</f>
      </c>
      <c r="C202" s="4" t="inlineStr">
        <is>
          <t>Vendido</t>
        </is>
      </c>
      <c r="D202" s="4" t="inlineStr">
        <is>
          <t>14</t>
        </is>
      </c>
      <c r="E202" s="5" t="inlineStr">
        <is>
          <t>11.500,00</t>
        </is>
      </c>
      <c r="F202" s="4" t="inlineStr">
        <is>
          <t>500.00</t>
        </is>
      </c>
    </row>
    <row collapsed="false" customFormat="false" customHeight="false" hidden="false" ht="12.1" outlineLevel="0" r="203">
      <c r="A203" s="5" t="s">
        <f>=HYPERLINK("https://www.leilaoonline.com.br/lote/detalhe/292665", "35311")</f>
      </c>
      <c r="B203" s="4" t="s">
        <f>=HYPERLINK("https://www.leilaoonline.com.br/lote/detalhe/292665", "CAIXOTE TRANSBORDO SANTA IZABEL. - S/FR. - LOC. VALE DO ROSÁRIO 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5.000,00</t>
        </is>
      </c>
      <c r="F203" s="4" t="inlineStr">
        <is>
          <t>250.00</t>
        </is>
      </c>
    </row>
    <row collapsed="false" customFormat="false" customHeight="false" hidden="false" ht="12.1" outlineLevel="0" r="204">
      <c r="A204" s="5" t="s">
        <f>=HYPERLINK("https://www.leilaoonline.com.br/lote/detalhe/292680", "35312")</f>
      </c>
      <c r="B204" s="4" t="s">
        <f>=HYPERLINK("https://www.leilaoonline.com.br/lote/detalhe/292680", "TRANSBORDO SANTA IZABEL, MOD.TRSI 15000 - ANO 2013 - FR11003730. - LOC. VALE DO ROSÁRIO")</f>
      </c>
      <c r="C204" s="4" t="inlineStr">
        <is>
          <t>Vendido</t>
        </is>
      </c>
      <c r="D204" s="4" t="inlineStr">
        <is>
          <t>1</t>
        </is>
      </c>
      <c r="E204" s="5" t="inlineStr">
        <is>
          <t>10.000,00</t>
        </is>
      </c>
      <c r="F204" s="4" t="inlineStr">
        <is>
          <t>1000.00</t>
        </is>
      </c>
    </row>
    <row collapsed="false" customFormat="false" customHeight="false" hidden="false" ht="12.1" outlineLevel="0" r="205">
      <c r="A205" s="5" t="s">
        <f>=HYPERLINK("https://www.leilaoonline.com.br/lote/detalhe/292677", "35313")</f>
      </c>
      <c r="B205" s="4" t="s">
        <f>=HYPERLINK("https://www.leilaoonline.com.br/lote/detalhe/292677", "TRANSBORDO SANTA IZABEL, MOD.TRSI 15000 - ANO 2014 - FR11003068. - LOC. VALE DO ROSÁRIO ")</f>
      </c>
      <c r="C205" s="4" t="inlineStr">
        <is>
          <t>Vendido</t>
        </is>
      </c>
      <c r="D205" s="4" t="inlineStr">
        <is>
          <t>2</t>
        </is>
      </c>
      <c r="E205" s="5" t="inlineStr">
        <is>
          <t>11.000,00</t>
        </is>
      </c>
      <c r="F205" s="4" t="inlineStr">
        <is>
          <t>1000.00</t>
        </is>
      </c>
    </row>
    <row collapsed="false" customFormat="false" customHeight="false" hidden="false" ht="12.1" outlineLevel="0" r="206">
      <c r="A206" s="5" t="s">
        <f>=HYPERLINK("https://www.leilaoonline.com.br/lote/detalhe/292676", "35314")</f>
      </c>
      <c r="B206" s="4" t="s">
        <f>=HYPERLINK("https://www.leilaoonline.com.br/lote/detalhe/292676", "TRANSBORDO SANTA IZABEL, MOD.TRSI 15000 - ANO 2013 - FR11003731. - LOC. VALE DO ROSÁRIO ")</f>
      </c>
      <c r="C206" s="4" t="inlineStr">
        <is>
          <t>Vendido</t>
        </is>
      </c>
      <c r="D206" s="4" t="inlineStr">
        <is>
          <t>4</t>
        </is>
      </c>
      <c r="E206" s="5" t="inlineStr">
        <is>
          <t>13.000,00</t>
        </is>
      </c>
      <c r="F206" s="4" t="inlineStr">
        <is>
          <t>1000.00</t>
        </is>
      </c>
    </row>
    <row collapsed="false" customFormat="false" customHeight="false" hidden="false" ht="12.1" outlineLevel="0" r="207">
      <c r="A207" s="5" t="s">
        <f>=HYPERLINK("https://www.leilaoonline.com.br/lote/detalhe/292679", "35315")</f>
      </c>
      <c r="B207" s="4" t="s">
        <f>=HYPERLINK("https://www.leilaoonline.com.br/lote/detalhe/292679", "TRANSBORDO SANTA IZABEL, MOD.TRSI 15000 - ANO 2013 - FR11003707. - LOC. VALE DO ROSÁRIO ")</f>
      </c>
      <c r="C207" s="4" t="inlineStr">
        <is>
          <t>Vendido</t>
        </is>
      </c>
      <c r="D207" s="4" t="inlineStr">
        <is>
          <t>5</t>
        </is>
      </c>
      <c r="E207" s="5" t="inlineStr">
        <is>
          <t>14.000,00</t>
        </is>
      </c>
      <c r="F207" s="4" t="inlineStr">
        <is>
          <t>1000.00</t>
        </is>
      </c>
    </row>
    <row collapsed="false" customFormat="false" customHeight="false" hidden="false" ht="12.1" outlineLevel="0" r="208">
      <c r="A208" s="5" t="s">
        <f>=HYPERLINK("https://www.leilaoonline.com.br/lote/detalhe/292670", "35316")</f>
      </c>
      <c r="B208" s="4" t="s">
        <f>=HYPERLINK("https://www.leilaoonline.com.br/lote/detalhe/292670", "TRANSBORDO SANTA IZABEL, MOD.TRSI 15000 - ANO 2013 - FR11003711. - LOC. VALE DO ROSÁRIO ")</f>
      </c>
      <c r="C208" s="4" t="inlineStr">
        <is>
          <t>Não vendido</t>
        </is>
      </c>
      <c r="D208" s="4" t="inlineStr">
        <is>
          <t>2</t>
        </is>
      </c>
      <c r="E208" s="5" t="inlineStr">
        <is>
          <t>11.000,00</t>
        </is>
      </c>
      <c r="F208" s="4" t="inlineStr">
        <is>
          <t>1000.00</t>
        </is>
      </c>
    </row>
    <row collapsed="false" customFormat="false" customHeight="false" hidden="false" ht="12.1" outlineLevel="0" r="209">
      <c r="A209" s="5" t="s">
        <f>=HYPERLINK("https://www.leilaoonline.com.br/lote/detalhe/292684", "35317")</f>
      </c>
      <c r="B209" s="4" t="s">
        <f>=HYPERLINK("https://www.leilaoonline.com.br/lote/detalhe/292684", "TRANSBORDO SANTA IZABEL, MOD.TRSI 15000 - ANO 2013 - FR11003705. - LOC. VALE DO ROSÁRIO ")</f>
      </c>
      <c r="C209" s="4" t="inlineStr">
        <is>
          <t>Vendido</t>
        </is>
      </c>
      <c r="D209" s="4" t="inlineStr">
        <is>
          <t>6</t>
        </is>
      </c>
      <c r="E209" s="5" t="inlineStr">
        <is>
          <t>15.000,00</t>
        </is>
      </c>
      <c r="F209" s="4" t="inlineStr">
        <is>
          <t>1000.00</t>
        </is>
      </c>
    </row>
    <row collapsed="false" customFormat="false" customHeight="false" hidden="false" ht="12.1" outlineLevel="0" r="210">
      <c r="A210" s="5" t="s">
        <f>=HYPERLINK("https://www.leilaoonline.com.br/lote/detalhe/292682", "35318")</f>
      </c>
      <c r="B210" s="4" t="s">
        <f>=HYPERLINK("https://www.leilaoonline.com.br/lote/detalhe/292682", "TRANSBORDO SANTA IZABEL TRIDEM 13T - ANO 2013 - FR11003682. - LOC. VALE DO ROSÁRIO ")</f>
      </c>
      <c r="C210" s="4" t="inlineStr">
        <is>
          <t>Não vendido</t>
        </is>
      </c>
      <c r="D210" s="4" t="inlineStr">
        <is>
          <t>2</t>
        </is>
      </c>
      <c r="E210" s="5" t="inlineStr">
        <is>
          <t>11.000,00</t>
        </is>
      </c>
      <c r="F210" s="4" t="inlineStr">
        <is>
          <t>1000.00</t>
        </is>
      </c>
    </row>
    <row collapsed="false" customFormat="false" customHeight="false" hidden="false" ht="12.1" outlineLevel="0" r="211">
      <c r="A211" s="5" t="s">
        <f>=HYPERLINK("https://www.leilaoonline.com.br/lote/detalhe/292690", "35319")</f>
      </c>
      <c r="B211" s="4" t="s">
        <f>=HYPERLINK("https://www.leilaoonline.com.br/lote/detalhe/292690", "COLHEDORA CASE 8800 - ANO 2017 - FR11002195 - LOC. VALE DO ROSÁRIO ")</f>
      </c>
      <c r="C211" s="4" t="inlineStr">
        <is>
          <t>Não vendido</t>
        </is>
      </c>
      <c r="D211" s="4" t="inlineStr">
        <is>
          <t>23</t>
        </is>
      </c>
      <c r="E211" s="5" t="inlineStr">
        <is>
          <t>42.000,00</t>
        </is>
      </c>
      <c r="F211" s="4" t="inlineStr">
        <is>
          <t>1000.00</t>
        </is>
      </c>
    </row>
    <row collapsed="false" customFormat="false" customHeight="false" hidden="false" ht="12.1" outlineLevel="0" r="212">
      <c r="A212" s="5" t="s">
        <f>=HYPERLINK("https://www.leilaoonline.com.br/lote/detalhe/292700", "35320")</f>
      </c>
      <c r="B212" s="4" t="s">
        <f>=HYPERLINK("https://www.leilaoonline.com.br/lote/detalhe/292700", "HIDRO ROLL IRRIGABRASIL - ANO 1998 - FR11003550. - LOC. VALE DO ROSÁRIO ")</f>
      </c>
      <c r="C212" s="4" t="inlineStr">
        <is>
          <t>Vendido</t>
        </is>
      </c>
      <c r="D212" s="4" t="inlineStr">
        <is>
          <t>1</t>
        </is>
      </c>
      <c r="E212" s="5" t="inlineStr">
        <is>
          <t>2.000,00</t>
        </is>
      </c>
      <c r="F212" s="4" t="inlineStr">
        <is>
          <t>250.00</t>
        </is>
      </c>
    </row>
    <row collapsed="false" customFormat="false" customHeight="false" hidden="false" ht="12.1" outlineLevel="0" r="213">
      <c r="A213" s="5" t="s">
        <f>=HYPERLINK("https://www.leilaoonline.com.br/lote/detalhe/292694", "35321")</f>
      </c>
      <c r="B213" s="4" t="s">
        <f>=HYPERLINK("https://www.leilaoonline.com.br/lote/detalhe/292694", " CARRETA TANQUE ANDRADE; ANO 2016. - FR/0044607. - LOC. VALE DO ROSÁRIO ")</f>
      </c>
      <c r="C213" s="4" t="inlineStr">
        <is>
          <t>Não vendido</t>
        </is>
      </c>
      <c r="D213" s="4" t="inlineStr">
        <is>
          <t>47</t>
        </is>
      </c>
      <c r="E213" s="5" t="inlineStr">
        <is>
          <t>40.000,00</t>
        </is>
      </c>
      <c r="F213" s="4" t="inlineStr">
        <is>
          <t>1000.00</t>
        </is>
      </c>
    </row>
    <row collapsed="false" customFormat="false" customHeight="false" hidden="false" ht="12.1" outlineLevel="0" r="214">
      <c r="A214" s="5" t="s">
        <f>=HYPERLINK("https://www.leilaoonline.com.br/lote/detalhe/292683", "35322")</f>
      </c>
      <c r="B214" s="4" t="s">
        <f>=HYPERLINK("https://www.leilaoonline.com.br/lote/detalhe/292683", " MESA TORNO. - PAT.43508. - LOC. VALE DO ROSÁRIO ")</f>
      </c>
      <c r="C214" s="4" t="inlineStr">
        <is>
          <t>Vendido</t>
        </is>
      </c>
      <c r="D214" s="4" t="inlineStr">
        <is>
          <t>23</t>
        </is>
      </c>
      <c r="E214" s="5" t="inlineStr">
        <is>
          <t>16.000,00</t>
        </is>
      </c>
      <c r="F214" s="4" t="inlineStr">
        <is>
          <t>500.00</t>
        </is>
      </c>
    </row>
    <row collapsed="false" customFormat="false" customHeight="false" hidden="false" ht="12.1" outlineLevel="0" r="215">
      <c r="A215" s="5" t="s">
        <f>=HYPERLINK("https://www.leilaoonline.com.br/lote/detalhe/292686", "35323")</f>
      </c>
      <c r="B215" s="4" t="s">
        <f>=HYPERLINK("https://www.leilaoonline.com.br/lote/detalhe/292686", " PRENSA. - PAT.287294. - LOC. VALE DO ROSARIO ")</f>
      </c>
      <c r="C215" s="4" t="inlineStr">
        <is>
          <t>Vendido</t>
        </is>
      </c>
      <c r="D215" s="4" t="inlineStr">
        <is>
          <t>9</t>
        </is>
      </c>
      <c r="E215" s="5" t="inlineStr">
        <is>
          <t>4.500,00</t>
        </is>
      </c>
      <c r="F215" s="4" t="inlineStr">
        <is>
          <t>250.00</t>
        </is>
      </c>
    </row>
    <row collapsed="false" customFormat="false" customHeight="false" hidden="false" ht="12.1" outlineLevel="0" r="216">
      <c r="A216" s="5" t="s">
        <f>=HYPERLINK("https://www.leilaoonline.com.br/lote/detalhe/292674", "35324")</f>
      </c>
      <c r="B216" s="4" t="s">
        <f>=HYPERLINK("https://www.leilaoonline.com.br/lote/detalhe/292674", " APROX. 15 MOTORES ELETRICOS DIVERSOS. - S/PT. - LOC. VALE DO ROSÁRIO ")</f>
      </c>
      <c r="C216" s="4" t="inlineStr">
        <is>
          <t>Vendido</t>
        </is>
      </c>
      <c r="D216" s="4" t="inlineStr">
        <is>
          <t>4</t>
        </is>
      </c>
      <c r="E216" s="5" t="inlineStr">
        <is>
          <t>3.750,00</t>
        </is>
      </c>
      <c r="F216" s="4" t="inlineStr">
        <is>
          <t>250.00</t>
        </is>
      </c>
    </row>
    <row collapsed="false" customFormat="false" customHeight="false" hidden="false" ht="12.1" outlineLevel="0" r="217">
      <c r="A217" s="5" t="s">
        <f>=HYPERLINK("https://www.leilaoonline.com.br/lote/detalhe/292681", "35325")</f>
      </c>
      <c r="B217" s="4" t="s">
        <f>=HYPERLINK("https://www.leilaoonline.com.br/lote/detalhe/292681", " TRANSBORDO SANTA IZABEL. - PAT.287089. - LOC. VALE DO ROSARIO ")</f>
      </c>
      <c r="C217" s="4" t="inlineStr">
        <is>
          <t>Vendido</t>
        </is>
      </c>
      <c r="D217" s="4" t="inlineStr">
        <is>
          <t>20</t>
        </is>
      </c>
      <c r="E217" s="5" t="inlineStr">
        <is>
          <t>40.000,00</t>
        </is>
      </c>
      <c r="F217" s="4" t="inlineStr">
        <is>
          <t>1000.00</t>
        </is>
      </c>
    </row>
    <row collapsed="false" customFormat="false" customHeight="false" hidden="false" ht="12.1" outlineLevel="0" r="218">
      <c r="A218" s="5" t="s">
        <f>=HYPERLINK("https://www.leilaoonline.com.br/lote/detalhe/292702", "35326")</f>
      </c>
      <c r="B218" s="4" t="s">
        <f>=HYPERLINK("https://www.leilaoonline.com.br/lote/detalhe/292702", "LAMINA TRASEIRA ARRASTO LTA 5000 4.16M, COM PNEUS - ANO 2014 - FR11003754. - LOC. VALE DO ROSÁRIO  ")</f>
      </c>
      <c r="C218" s="4" t="inlineStr">
        <is>
          <t>Vendido</t>
        </is>
      </c>
      <c r="D218" s="4" t="inlineStr">
        <is>
          <t>53</t>
        </is>
      </c>
      <c r="E218" s="5" t="inlineStr">
        <is>
          <t>24.250,00</t>
        </is>
      </c>
      <c r="F218" s="4" t="inlineStr">
        <is>
          <t>1000.00</t>
        </is>
      </c>
    </row>
    <row collapsed="false" customFormat="false" customHeight="false" hidden="false" ht="12.1" outlineLevel="0" r="219">
      <c r="A219" s="5" t="s">
        <f>=HYPERLINK("https://www.leilaoonline.com.br/lote/detalhe/292675", "35327")</f>
      </c>
      <c r="B219" s="4" t="s">
        <f>=HYPERLINK("https://www.leilaoonline.com.br/lote/detalhe/292675", " TRANSBORDO SANTA IZABEL. - PAT.287036. - LOC. VALE DO ROSÁRIO ")</f>
      </c>
      <c r="C219" s="4" t="inlineStr">
        <is>
          <t>Vendido</t>
        </is>
      </c>
      <c r="D219" s="4" t="inlineStr">
        <is>
          <t>23</t>
        </is>
      </c>
      <c r="E219" s="5" t="inlineStr">
        <is>
          <t>40.000,00</t>
        </is>
      </c>
      <c r="F219" s="4" t="inlineStr">
        <is>
          <t>1000.00</t>
        </is>
      </c>
    </row>
    <row collapsed="false" customFormat="false" customHeight="false" hidden="false" ht="12.1" outlineLevel="0" r="220">
      <c r="A220" s="5" t="s">
        <f>=HYPERLINK("https://www.leilaoonline.com.br/lote/detalhe/292703", "35328")</f>
      </c>
      <c r="B220" s="4" t="s">
        <f>=HYPERLINK("https://www.leilaoonline.com.br/lote/detalhe/292703", " CARROCERIA SCHULZ. - FR50214. - LOC. VALE DO ROSÁRIO ")</f>
      </c>
      <c r="C220" s="4" t="inlineStr">
        <is>
          <t>Vendido</t>
        </is>
      </c>
      <c r="D220" s="4" t="inlineStr">
        <is>
          <t>43</t>
        </is>
      </c>
      <c r="E220" s="5" t="inlineStr">
        <is>
          <t>14.750,00</t>
        </is>
      </c>
      <c r="F220" s="4" t="inlineStr">
        <is>
          <t>500.00</t>
        </is>
      </c>
    </row>
    <row collapsed="false" customFormat="false" customHeight="false" hidden="false" ht="12.1" outlineLevel="0" r="221">
      <c r="A221" s="5" t="s">
        <f>=HYPERLINK("https://www.leilaoonline.com.br/lote/detalhe/292717", "35329")</f>
      </c>
      <c r="B221" s="4" t="s">
        <f>=HYPERLINK("https://www.leilaoonline.com.br/lote/detalhe/292717", " MUNCK MOTOCANA. - S/FR. - LOC. VALE DO ROSÁRIO ")</f>
      </c>
      <c r="C221" s="4" t="inlineStr">
        <is>
          <t>Vendido</t>
        </is>
      </c>
      <c r="D221" s="4" t="inlineStr">
        <is>
          <t>41</t>
        </is>
      </c>
      <c r="E221" s="5" t="inlineStr">
        <is>
          <t>44.500,00</t>
        </is>
      </c>
      <c r="F221" s="4" t="inlineStr">
        <is>
          <t>1000.00</t>
        </is>
      </c>
    </row>
    <row collapsed="false" customFormat="false" customHeight="false" hidden="false" ht="12.1" outlineLevel="0" r="222">
      <c r="A222" s="5" t="s">
        <f>=HYPERLINK("https://www.leilaoonline.com.br/lote/detalhe/292685", "35330")</f>
      </c>
      <c r="B222" s="4" t="s">
        <f>=HYPERLINK("https://www.leilaoonline.com.br/lote/detalhe/292685", "HIDRO ROLL FERTIRRIGACAO MCA IRRIGABRASIL - TURBOMAQ 2012 - FR11003641. - LOC. VALE DO ROSÁRIO ")</f>
      </c>
      <c r="C222" s="4" t="inlineStr">
        <is>
          <t>Não vendido</t>
        </is>
      </c>
      <c r="D222" s="4" t="inlineStr">
        <is>
          <t>57</t>
        </is>
      </c>
      <c r="E222" s="5" t="inlineStr">
        <is>
          <t>28.250,00</t>
        </is>
      </c>
      <c r="F222" s="4" t="inlineStr">
        <is>
          <t>1000.00</t>
        </is>
      </c>
    </row>
    <row collapsed="false" customFormat="false" customHeight="false" hidden="false" ht="12.1" outlineLevel="0" r="223">
      <c r="A223" s="5" t="s">
        <f>=HYPERLINK("https://www.leilaoonline.com.br/lote/detalhe/292687", "35331")</f>
      </c>
      <c r="B223" s="4" t="s">
        <f>=HYPERLINK("https://www.leilaoonline.com.br/lote/detalhe/292687", " CARREGADEIRA SEGECAL MOD.5254; ANO 2003. - S/FR. - LOC. VALE DO ROSÁRIO ")</f>
      </c>
      <c r="C223" s="4" t="inlineStr">
        <is>
          <t>Vendido</t>
        </is>
      </c>
      <c r="D223" s="4" t="inlineStr">
        <is>
          <t>71</t>
        </is>
      </c>
      <c r="E223" s="5" t="inlineStr">
        <is>
          <t>120.000,00</t>
        </is>
      </c>
      <c r="F223" s="4" t="inlineStr">
        <is>
          <t>2000.00</t>
        </is>
      </c>
    </row>
    <row collapsed="false" customFormat="false" customHeight="false" hidden="false" ht="12.1" outlineLevel="0" r="224">
      <c r="A224" s="5" t="s">
        <f>=HYPERLINK("https://www.leilaoonline.com.br/lote/detalhe/292689", "35332")</f>
      </c>
      <c r="B224" s="4" t="s">
        <f>=HYPERLINK("https://www.leilaoonline.com.br/lote/detalhe/292689", " REBOQUE RODOVIARIA SR CN PR; ANO 1993/1993; VERDE. - FR11004022 - LOC. VALE DO ROSÁRIO ")</f>
      </c>
      <c r="C224" s="4" t="inlineStr">
        <is>
          <t>Vendido</t>
        </is>
      </c>
      <c r="D224" s="4" t="inlineStr">
        <is>
          <t>6</t>
        </is>
      </c>
      <c r="E224" s="5" t="inlineStr">
        <is>
          <t>15.000,00</t>
        </is>
      </c>
      <c r="F224" s="4" t="inlineStr">
        <is>
          <t>1000.00</t>
        </is>
      </c>
    </row>
    <row collapsed="false" customFormat="false" customHeight="false" hidden="false" ht="12.1" outlineLevel="0" r="225">
      <c r="A225" s="5" t="s">
        <f>=HYPERLINK("https://www.leilaoonline.com.br/lote/detalhe/292712", "35333")</f>
      </c>
      <c r="B225" s="4" t="s">
        <f>=HYPERLINK("https://www.leilaoonline.com.br/lote/detalhe/292712", "TRATOR MF 275. - ANO 1984 - FR11002064 - LOC. VALE DO ROSÁRIO ")</f>
      </c>
      <c r="C225" s="4" t="inlineStr">
        <is>
          <t>Vendido</t>
        </is>
      </c>
      <c r="D225" s="4" t="inlineStr">
        <is>
          <t>22</t>
        </is>
      </c>
      <c r="E225" s="5" t="inlineStr">
        <is>
          <t>37.000,00</t>
        </is>
      </c>
      <c r="F225" s="4" t="inlineStr">
        <is>
          <t>1000.00</t>
        </is>
      </c>
    </row>
    <row collapsed="false" customFormat="false" customHeight="false" hidden="false" ht="12.1" outlineLevel="0" r="226">
      <c r="A226" s="5" t="s">
        <f>=HYPERLINK("https://www.leilaoonline.com.br/lote/detalhe/292688", "35334")</f>
      </c>
      <c r="B226" s="4" t="s">
        <f>=HYPERLINK("https://www.leilaoonline.com.br/lote/detalhe/292688", " REBOQUE RODOVIARIA RQ CI PR; ANO 1994/1994; VERDE. - FR11004048. - LOC. VALE DO ROSÁRIO ")</f>
      </c>
      <c r="C226" s="4" t="inlineStr">
        <is>
          <t>Vendido</t>
        </is>
      </c>
      <c r="D226" s="4" t="inlineStr">
        <is>
          <t>8</t>
        </is>
      </c>
      <c r="E226" s="5" t="inlineStr">
        <is>
          <t>17.000,00</t>
        </is>
      </c>
      <c r="F226" s="4" t="inlineStr">
        <is>
          <t>1000.00</t>
        </is>
      </c>
    </row>
    <row collapsed="false" customFormat="false" customHeight="false" hidden="false" ht="12.1" outlineLevel="0" r="227">
      <c r="A227" s="5" t="s">
        <f>=HYPERLINK("https://www.leilaoonline.com.br/lote/detalhe/292709", "35335")</f>
      </c>
      <c r="B227" s="4" t="s">
        <f>=HYPERLINK("https://www.leilaoonline.com.br/lote/detalhe/292709", " CARRETA. - FR9472. - (VENDA SEM DOCUMENTO) - LOC. VALE DO ROSÁRIO ")</f>
      </c>
      <c r="C227" s="4" t="inlineStr">
        <is>
          <t>Vendido</t>
        </is>
      </c>
      <c r="D227" s="4" t="inlineStr">
        <is>
          <t>1</t>
        </is>
      </c>
      <c r="E227" s="5" t="inlineStr">
        <is>
          <t>1.000,00</t>
        </is>
      </c>
      <c r="F227" s="4" t="inlineStr">
        <is>
          <t>250.00</t>
        </is>
      </c>
    </row>
    <row collapsed="false" customFormat="false" customHeight="false" hidden="false" ht="12.1" outlineLevel="0" r="228">
      <c r="A228" s="5" t="s">
        <f>=HYPERLINK("https://www.leilaoonline.com.br/lote/detalhe/292708", "35336")</f>
      </c>
      <c r="B228" s="4" t="s">
        <f>=HYPERLINK("https://www.leilaoonline.com.br/lote/detalhe/292708", "HIDRO ROLL IRRIGABRASIL - ANO 2007 - FR11003472. - LOC.VALE DO ROSÁRIO ")</f>
      </c>
      <c r="C228" s="4" t="inlineStr">
        <is>
          <t>Vendido</t>
        </is>
      </c>
      <c r="D228" s="4" t="inlineStr">
        <is>
          <t>35</t>
        </is>
      </c>
      <c r="E228" s="5" t="inlineStr">
        <is>
          <t>33.500,00</t>
        </is>
      </c>
      <c r="F228" s="4" t="inlineStr">
        <is>
          <t>1000.00</t>
        </is>
      </c>
    </row>
    <row collapsed="false" customFormat="false" customHeight="false" hidden="false" ht="12.1" outlineLevel="0" r="229">
      <c r="A229" s="5" t="s">
        <f>=HYPERLINK("https://www.leilaoonline.com.br/lote/detalhe/292705", "35337")</f>
      </c>
      <c r="B229" s="4" t="s">
        <f>=HYPERLINK("https://www.leilaoonline.com.br/lote/detalhe/292705", "HIDRO ROLL. - ANO 2007 - FR11003469. - LOC.VALE DO ROSÁRIO ")</f>
      </c>
      <c r="C229" s="4" t="inlineStr">
        <is>
          <t>Não vendido</t>
        </is>
      </c>
      <c r="D229" s="4" t="inlineStr">
        <is>
          <t>37</t>
        </is>
      </c>
      <c r="E229" s="5" t="inlineStr">
        <is>
          <t>19.750,00</t>
        </is>
      </c>
      <c r="F229" s="4" t="inlineStr">
        <is>
          <t>500.00</t>
        </is>
      </c>
    </row>
    <row collapsed="false" customFormat="false" customHeight="false" hidden="false" ht="12.1" outlineLevel="0" r="230">
      <c r="A230" s="5" t="s">
        <f>=HYPERLINK("https://www.leilaoonline.com.br/lote/detalhe/292711", "35340")</f>
      </c>
      <c r="B230" s="4" t="s">
        <f>=HYPERLINK("https://www.leilaoonline.com.br/lote/detalhe/292711", " MUNCK FACCHINI E CARROCERIA. - S/FR. - LOC. VALE DO ROSÁRIO ")</f>
      </c>
      <c r="C230" s="4" t="inlineStr">
        <is>
          <t>Vendido</t>
        </is>
      </c>
      <c r="D230" s="4" t="inlineStr">
        <is>
          <t>106</t>
        </is>
      </c>
      <c r="E230" s="5" t="inlineStr">
        <is>
          <t>93.500,00</t>
        </is>
      </c>
      <c r="F230" s="4" t="inlineStr">
        <is>
          <t>1000.00</t>
        </is>
      </c>
    </row>
    <row collapsed="false" customFormat="false" customHeight="false" hidden="false" ht="12.1" outlineLevel="0" r="231">
      <c r="A231" s="5" t="s">
        <f>=HYPERLINK("https://www.leilaoonline.com.br/lote/detalhe/292706", "35341")</f>
      </c>
      <c r="B231" s="4" t="s">
        <f>=HYPERLINK("https://www.leilaoonline.com.br/lote/detalhe/292706", " MUNCK MICHELETO E CARROCERIA. - S/FR. - LOC. VALE DO ROSÁRIO ")</f>
      </c>
      <c r="C231" s="4" t="inlineStr">
        <is>
          <t>Vendido</t>
        </is>
      </c>
      <c r="D231" s="4" t="inlineStr">
        <is>
          <t>92</t>
        </is>
      </c>
      <c r="E231" s="5" t="inlineStr">
        <is>
          <t>85.000,00</t>
        </is>
      </c>
      <c r="F231" s="4" t="inlineStr">
        <is>
          <t>1000.00</t>
        </is>
      </c>
    </row>
    <row collapsed="false" customFormat="false" customHeight="false" hidden="false" ht="12.1" outlineLevel="0" r="232">
      <c r="A232" s="5" t="s">
        <f>=HYPERLINK("https://www.leilaoonline.com.br/lote/detalhe/292713", "35342")</f>
      </c>
      <c r="B232" s="4" t="s">
        <f>=HYPERLINK("https://www.leilaoonline.com.br/lote/detalhe/292713", "IMPLEMENTO CIVEMASA STAC P500 - S/FR. - LOC. JUNQUEIRA")</f>
      </c>
      <c r="C232" s="4" t="inlineStr">
        <is>
          <t>Vendido</t>
        </is>
      </c>
      <c r="D232" s="4" t="inlineStr">
        <is>
          <t>2</t>
        </is>
      </c>
      <c r="E232" s="5" t="inlineStr">
        <is>
          <t>2.250,00</t>
        </is>
      </c>
      <c r="F232" s="4" t="inlineStr">
        <is>
          <t>250.00</t>
        </is>
      </c>
    </row>
    <row collapsed="false" customFormat="false" customHeight="false" hidden="false" ht="12.1" outlineLevel="0" r="233">
      <c r="A233" s="5" t="s">
        <f>=HYPERLINK("https://www.leilaoonline.com.br/lote/detalhe/292715", "35343")</f>
      </c>
      <c r="B233" s="4" t="s">
        <f>=HYPERLINK("https://www.leilaoonline.com.br/lote/detalhe/292715", " IMPLEMENTO. - S/FR. - LOC. JUNQUEIRA 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1.000,00</t>
        </is>
      </c>
      <c r="F233" s="4" t="inlineStr">
        <is>
          <t>250.00</t>
        </is>
      </c>
    </row>
    <row collapsed="false" customFormat="false" customHeight="false" hidden="false" ht="12.1" outlineLevel="0" r="234">
      <c r="A234" s="5" t="s">
        <f>=HYPERLINK("https://www.leilaoonline.com.br/lote/detalhe/292693", "35344")</f>
      </c>
      <c r="B234" s="4" t="s">
        <f>=HYPERLINK("https://www.leilaoonline.com.br/lote/detalhe/292693", "SUCATA DE TRATOR CASE 235 MAGNUM; ANO 2014. - FR93345. - LOC. JUNQUEIRA")</f>
      </c>
      <c r="C234" s="4" t="inlineStr">
        <is>
          <t>Vendido</t>
        </is>
      </c>
      <c r="D234" s="4" t="inlineStr">
        <is>
          <t>16</t>
        </is>
      </c>
      <c r="E234" s="5" t="inlineStr">
        <is>
          <t>25.000,00</t>
        </is>
      </c>
      <c r="F234" s="4" t="inlineStr">
        <is>
          <t>1000.00</t>
        </is>
      </c>
    </row>
    <row collapsed="false" customFormat="false" customHeight="false" hidden="false" ht="12.1" outlineLevel="0" r="235">
      <c r="A235" s="5" t="s">
        <f>=HYPERLINK("https://www.leilaoonline.com.br/lote/detalhe/292714", "35346")</f>
      </c>
      <c r="B235" s="4" t="s">
        <f>=HYPERLINK("https://www.leilaoonline.com.br/lote/detalhe/292714", " CAMINHÃO VOLKSWAGEN 15.190 WORKER; ANO 2013/2014; BRANCA. - FR92154. - LOC. JUNQUEIRA ")</f>
      </c>
      <c r="C235" s="4" t="inlineStr">
        <is>
          <t>Não vendido</t>
        </is>
      </c>
      <c r="D235" s="4" t="inlineStr">
        <is>
          <t>101</t>
        </is>
      </c>
      <c r="E235" s="5" t="inlineStr">
        <is>
          <t>155.000,00</t>
        </is>
      </c>
      <c r="F235" s="4" t="inlineStr">
        <is>
          <t>2000.00</t>
        </is>
      </c>
    </row>
    <row collapsed="false" customFormat="false" customHeight="false" hidden="false" ht="12.1" outlineLevel="0" r="236">
      <c r="A236" s="5" t="s">
        <f>=HYPERLINK("https://www.leilaoonline.com.br/lote/detalhe/292701", "35350")</f>
      </c>
      <c r="B236" s="4" t="s">
        <f>=HYPERLINK("https://www.leilaoonline.com.br/lote/detalhe/292701", " CAMINHÃO VOLKSWAGEN EURO3 WORKER; ANO 2011/2012; BRANCA. - FR96652. - (VENDA SEM MOTOR) -  LOC. JUNQUEIRA")</f>
      </c>
      <c r="C236" s="4" t="inlineStr">
        <is>
          <t>Não vendido</t>
        </is>
      </c>
      <c r="D236" s="4" t="inlineStr">
        <is>
          <t>74</t>
        </is>
      </c>
      <c r="E236" s="5" t="inlineStr">
        <is>
          <t>105.000,00</t>
        </is>
      </c>
      <c r="F236" s="4" t="inlineStr">
        <is>
          <t>1000.00</t>
        </is>
      </c>
    </row>
    <row collapsed="false" customFormat="false" customHeight="false" hidden="false" ht="12.1" outlineLevel="0" r="237">
      <c r="A237" s="5" t="s">
        <f>=HYPERLINK("https://www.leilaoonline.com.br/lote/detalhe/292710", "35351")</f>
      </c>
      <c r="B237" s="4" t="s">
        <f>=HYPERLINK("https://www.leilaoonline.com.br/lote/detalhe/292710", " CAMINHÃO SCANIA R113 E 6X4 360; ANO 1993/1993; BRANCA. - FR120668. - (VENDA SOMENTE PARA COMPRADORES DO ESTADO DE SÃO PAULO) - LOC. JUNQUEIRA ")</f>
      </c>
      <c r="C237" s="4" t="inlineStr">
        <is>
          <t>Vendido</t>
        </is>
      </c>
      <c r="D237" s="4" t="inlineStr">
        <is>
          <t>11</t>
        </is>
      </c>
      <c r="E237" s="5" t="inlineStr">
        <is>
          <t>25.000,00</t>
        </is>
      </c>
      <c r="F237" s="4" t="inlineStr">
        <is>
          <t>1000.00</t>
        </is>
      </c>
    </row>
    <row collapsed="false" customFormat="false" customHeight="false" hidden="false" ht="12.1" outlineLevel="0" r="238">
      <c r="A238" s="5" t="s">
        <f>=HYPERLINK("https://www.leilaoonline.com.br/lote/detalhe/292720", "35354")</f>
      </c>
      <c r="B238" s="4" t="s">
        <f>=HYPERLINK("https://www.leilaoonline.com.br/lote/detalhe/292720", " SEMI REBOQUE RANDONSP SRCA CA; ANO 2012/2012; AZUL. - FR93692. - LOC. JUNQUEIRA ")</f>
      </c>
      <c r="C238" s="4" t="inlineStr">
        <is>
          <t>Vendido</t>
        </is>
      </c>
      <c r="D238" s="4" t="inlineStr">
        <is>
          <t>33</t>
        </is>
      </c>
      <c r="E238" s="5" t="inlineStr">
        <is>
          <t>52.000,00</t>
        </is>
      </c>
      <c r="F238" s="4" t="inlineStr">
        <is>
          <t>1000.00</t>
        </is>
      </c>
    </row>
    <row collapsed="false" customFormat="false" customHeight="false" hidden="false" ht="12.1" outlineLevel="0" r="239">
      <c r="A239" s="5" t="s">
        <f>=HYPERLINK("https://www.leilaoonline.com.br/lote/detalhe/292699", "35355")</f>
      </c>
      <c r="B239" s="4" t="s">
        <f>=HYPERLINK("https://www.leilaoonline.com.br/lote/detalhe/292699", "HIDRO ROLL METALMAG - ANO 2001 - FR92584. - LOC. JUNQUEIRA 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1.000,00</t>
        </is>
      </c>
      <c r="F239" s="4" t="inlineStr">
        <is>
          <t>250.00</t>
        </is>
      </c>
    </row>
    <row collapsed="false" customFormat="false" customHeight="false" hidden="false" ht="12.1" outlineLevel="0" r="240">
      <c r="A240" s="5" t="s">
        <f>=HYPERLINK("https://www.leilaoonline.com.br/lote/detalhe/292718", "35356")</f>
      </c>
      <c r="B240" s="4" t="s">
        <f>=HYPERLINK("https://www.leilaoonline.com.br/lote/detalhe/292718", "HIDRO ROLL METALMAG - ANO 2001 - FR92586. - LOC. JUNQUEIRA")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1.000,00</t>
        </is>
      </c>
      <c r="F240" s="4" t="inlineStr">
        <is>
          <t>250.00</t>
        </is>
      </c>
    </row>
    <row collapsed="false" customFormat="false" customHeight="false" hidden="false" ht="12.1" outlineLevel="0" r="241">
      <c r="A241" s="5" t="s">
        <f>=HYPERLINK("https://www.leilaoonline.com.br/lote/detalhe/292814", "35401")</f>
      </c>
      <c r="B241" s="4" t="s">
        <f>=HYPERLINK("https://www.leilaoonline.com.br/lote/detalhe/292814", " REBOQUE RANDON SP RQ CA - ANO 2011/2011 - AZUL - FR4042 - LOC. LAGOA DA PRATA")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20.000,00</t>
        </is>
      </c>
      <c r="F241" s="4" t="inlineStr">
        <is>
          <t>1000.00</t>
        </is>
      </c>
    </row>
    <row collapsed="false" customFormat="false" customHeight="false" hidden="false" ht="12.1" outlineLevel="0" r="242">
      <c r="A242" s="5" t="s">
        <f>=HYPERLINK("https://www.leilaoonline.com.br/lote/detalhe/292811", "35402")</f>
      </c>
      <c r="B242" s="4" t="s">
        <f>=HYPERLINK("https://www.leilaoonline.com.br/lote/detalhe/292811", " REBOQUE RANDON SP RQ CA - ANO 2011/2011 - AZUL - FR4043 - LOC. LAGOA DA PRATA")</f>
      </c>
      <c r="C242" s="4" t="inlineStr">
        <is>
          <t>Vendido</t>
        </is>
      </c>
      <c r="D242" s="4" t="inlineStr">
        <is>
          <t>5</t>
        </is>
      </c>
      <c r="E242" s="5" t="inlineStr">
        <is>
          <t>24.000,00</t>
        </is>
      </c>
      <c r="F242" s="4" t="inlineStr">
        <is>
          <t>1000.00</t>
        </is>
      </c>
    </row>
    <row collapsed="false" customFormat="false" customHeight="false" hidden="false" ht="12.1" outlineLevel="0" r="243">
      <c r="A243" s="5" t="s">
        <f>=HYPERLINK("https://www.leilaoonline.com.br/lote/detalhe/292810", "35405")</f>
      </c>
      <c r="B243" s="4" t="s">
        <f>=HYPERLINK("https://www.leilaoonline.com.br/lote/detalhe/292810", "VEJA VÍDEO!! PULVERIZADOR AUTOPROPELIDO JOHN DEERE M4025 - ANO 2019 - FR8005056 - LOC. LAGOA DA PRATA")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300.000,00</t>
        </is>
      </c>
      <c r="F243" s="4" t="inlineStr">
        <is>
          <t>5000.00</t>
        </is>
      </c>
    </row>
    <row collapsed="false" customFormat="false" customHeight="false" hidden="false" ht="12.1" outlineLevel="0" r="244">
      <c r="A244" s="5" t="s">
        <f>=HYPERLINK("https://www.leilaoonline.com.br/lote/detalhe/292812", "35406")</f>
      </c>
      <c r="B244" s="4" t="s">
        <f>=HYPERLINK("https://www.leilaoonline.com.br/lote/detalhe/292812", " VEJA VÍDEO!! PULVERIZADOR AUTOPROPELIDO JOHN DEERE M4025 - ANO 2019 - FR512129 - LOC. LAGOA DA PRATA")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300.000,00</t>
        </is>
      </c>
      <c r="F244" s="4" t="inlineStr">
        <is>
          <t>5000.00</t>
        </is>
      </c>
    </row>
    <row collapsed="false" customFormat="false" customHeight="false" hidden="false" ht="12.1" outlineLevel="0" r="245">
      <c r="A245" s="5" t="s">
        <f>=HYPERLINK("https://www.leilaoonline.com.br/lote/detalhe/292815", "35414")</f>
      </c>
      <c r="B245" s="4" t="s">
        <f>=HYPERLINK("https://www.leilaoonline.com.br/lote/detalhe/292815", "TRANSBORDO CIVEMASA 10 TON - ANO 2008 - FR8003019 - LOC. LAGOA DA PRATA")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10.000,00</t>
        </is>
      </c>
      <c r="F245" s="4" t="inlineStr">
        <is>
          <t>1000.00</t>
        </is>
      </c>
    </row>
    <row collapsed="false" customFormat="false" customHeight="false" hidden="false" ht="12.1" outlineLevel="0" r="246">
      <c r="A246" s="5" t="s">
        <f>=HYPERLINK("https://www.leilaoonline.com.br/lote/detalhe/292816", "35415")</f>
      </c>
      <c r="B246" s="4" t="s">
        <f>=HYPERLINK("https://www.leilaoonline.com.br/lote/detalhe/292816", "TRANSBORDO CIVEMASA 10 TON - ANO 2008 - FR8003016/513016 - LOC. LAGOA DA PRATA")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10.000,00</t>
        </is>
      </c>
      <c r="F246" s="4" t="inlineStr">
        <is>
          <t>1000.00</t>
        </is>
      </c>
    </row>
    <row collapsed="false" customFormat="false" customHeight="false" hidden="false" ht="12.1" outlineLevel="0" r="247">
      <c r="A247" s="5" t="s">
        <f>=HYPERLINK("https://www.leilaoonline.com.br/lote/detalhe/292817", "35416")</f>
      </c>
      <c r="B247" s="4" t="s">
        <f>=HYPERLINK("https://www.leilaoonline.com.br/lote/detalhe/292817", "TRANSBORDO CIVEMASA 10 TON - ANO 2008 - FR8003010 - LOC. LAGOA DA PRATA")</f>
      </c>
      <c r="C247" s="4" t="inlineStr">
        <is>
          <t>Não vendido</t>
        </is>
      </c>
      <c r="D247" s="4" t="inlineStr">
        <is>
          <t>1</t>
        </is>
      </c>
      <c r="E247" s="5" t="inlineStr">
        <is>
          <t>10.000,00</t>
        </is>
      </c>
      <c r="F247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2026-06-18T19:35:31.00Z</dcterms:created>
  <dc:creator>Tellks Tecnologia</dc:creator>
  <cp:revision>0</cp:revision>
</cp:coreProperties>
</file>