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3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EQUIPS INDUSTRIAIS - DESTILARIA - 20 CAMINHÕES - PRANCHAS - CARREGADORAS - COLHEDORAS - TRANSFORMADORES</t>
        </is>
      </c>
      <c r="C6" s="4"/>
      <c r="D6" s="4"/>
      <c r="E6" s="4"/>
      <c r="F6" s="4"/>
    </row>
    <row collapsed="false" customFormat="false" customHeight="false" hidden="false" ht="12.1" outlineLevel="0" r="7">
      <c r="A7" s="3" t="inlineStr">
        <is>
          <t>Data</t>
        </is>
      </c>
      <c r="B7" s="4" t="inlineStr">
        <is>
          <t>08/05/2026 11:30</t>
        </is>
      </c>
      <c r="C7" s="4"/>
      <c r="D7" s="4"/>
      <c r="E7" s="4"/>
      <c r="F7" s="4"/>
    </row>
    <row collapsed="false" customFormat="false" customHeight="false" hidden="false" ht="12.1" outlineLevel="0" r="8">
      <c r="A8" s="3" t="inlineStr">
        <is>
          <t>Leiloeiro</t>
        </is>
      </c>
      <c r="B8" s="4" t="inlineStr">
        <is>
          <t>Eduardo Jordao Boyadjian</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=HYPERLINK("https://www.leilaoonline.com.br/lote/detalhe/329348", "12046")</f>
      </c>
      <c r="B11" s="4" t="s">
        <f>=HYPERLINK("https://www.leilaoonline.com.br/lote/detalhe/329348", " SULCADOR; ANO 2008. - FR4445031. - LOC. CAARAPÓ")</f>
      </c>
      <c r="C11" s="4" t="inlineStr">
        <is>
          <t>Vendido</t>
        </is>
      </c>
      <c r="D11" s="4" t="inlineStr">
        <is>
          <t>1</t>
        </is>
      </c>
      <c r="E11" s="5" t="inlineStr">
        <is>
          <t>1.000,00</t>
        </is>
      </c>
      <c r="F11" s="4" t="inlineStr">
        <is>
          <t>250.00</t>
        </is>
      </c>
    </row>
    <row collapsed="false" customFormat="false" customHeight="false" hidden="false" ht="12.1" outlineLevel="0" r="12">
      <c r="A12" s="5" t="s">
        <f>=HYPERLINK("https://www.leilaoonline.com.br/lote/detalhe/329688", "34155")</f>
      </c>
      <c r="B12" s="4" t="s">
        <f>=HYPERLINK("https://www.leilaoonline.com.br/lote/detalhe/329688", "APROX. 01 CADEIRA GIRATÓRIA, 01 MESA, 02 ARMÁRIOS, 01 ESTANTE E 01 GAVETEIRO. - SALA 04 . - UND. BARRA - LOC. IGARAÇU DO TIETÊ")</f>
      </c>
      <c r="C12" s="4" t="inlineStr">
        <is>
          <t>Vendido</t>
        </is>
      </c>
      <c r="D12" s="4" t="inlineStr">
        <is>
          <t>2</t>
        </is>
      </c>
      <c r="E12" s="5" t="inlineStr">
        <is>
          <t>600,00</t>
        </is>
      </c>
      <c r="F12" s="4" t="inlineStr">
        <is>
          <t>100.00</t>
        </is>
      </c>
    </row>
    <row collapsed="false" customFormat="false" customHeight="false" hidden="false" ht="12.1" outlineLevel="0" r="13">
      <c r="A13" s="5" t="s">
        <f>=HYPERLINK("https://www.leilaoonline.com.br/lote/detalhe/329689", "34162")</f>
      </c>
      <c r="B13" s="4" t="s">
        <f>=HYPERLINK("https://www.leilaoonline.com.br/lote/detalhe/329689", "16 TAMBORES E SURDOS DE MADEIRA (APROXIMADAMENTE), EM DIFERENTES TAMANHOS E PROFUNDIDADES - LOC. COSTA PINTO")</f>
      </c>
      <c r="C13" s="4" t="inlineStr">
        <is>
          <t>Vendido</t>
        </is>
      </c>
      <c r="D13" s="4" t="inlineStr">
        <is>
          <t>4</t>
        </is>
      </c>
      <c r="E13" s="5" t="inlineStr">
        <is>
          <t>500,00</t>
        </is>
      </c>
      <c r="F13" s="4" t="inlineStr">
        <is>
          <t>100.00</t>
        </is>
      </c>
    </row>
    <row collapsed="false" customFormat="false" customHeight="false" hidden="false" ht="12.1" outlineLevel="0" r="14">
      <c r="A14" s="5" t="s">
        <f>=HYPERLINK("https://www.leilaoonline.com.br/lote/detalhe/329578", "34166")</f>
      </c>
      <c r="B14" s="4" t="s">
        <f>=HYPERLINK("https://www.leilaoonline.com.br/lote/detalhe/329578", "1 BANCADA GRANDE; 1 FOGÃO DE SEIS BOCAS (GÁS NATURAL); 1 BANCADA PEQUENA (TIPO CARRINHO); 1 PRATELEIRA PEQUENA; E 2 PRATELEIRAS GRANDES - LOC. PIRACICABA")</f>
      </c>
      <c r="C14" s="4" t="inlineStr">
        <is>
          <t>Vendido</t>
        </is>
      </c>
      <c r="D14" s="4" t="inlineStr">
        <is>
          <t>4</t>
        </is>
      </c>
      <c r="E14" s="5" t="inlineStr">
        <is>
          <t>1.250,00</t>
        </is>
      </c>
      <c r="F14" s="4" t="inlineStr">
        <is>
          <t>150.00</t>
        </is>
      </c>
    </row>
    <row collapsed="false" customFormat="false" customHeight="false" hidden="false" ht="12.1" outlineLevel="0" r="15">
      <c r="A15" s="5" t="s">
        <f>=HYPERLINK("https://www.leilaoonline.com.br/lote/detalhe/329508", "34176")</f>
      </c>
      <c r="B15" s="4" t="s">
        <f>=HYPERLINK("https://www.leilaoonline.com.br/lote/detalhe/329508", "LOTE DE 3 PNEUS, SENDO: 2 PNEUS 850/60_38; E 1 PNEU 900/60_ 38 - S/FR - LOC. SÃO FRANCISCO")</f>
      </c>
      <c r="C15" s="4" t="inlineStr">
        <is>
          <t>Vendido</t>
        </is>
      </c>
      <c r="D15" s="4" t="inlineStr">
        <is>
          <t>38</t>
        </is>
      </c>
      <c r="E15" s="5" t="inlineStr">
        <is>
          <t>21.500,00</t>
        </is>
      </c>
      <c r="F15" s="4" t="inlineStr">
        <is>
          <t>500.00</t>
        </is>
      </c>
    </row>
    <row collapsed="false" customFormat="false" customHeight="false" hidden="false" ht="12.1" outlineLevel="0" r="16">
      <c r="A16" s="5" t="s">
        <f>=HYPERLINK("https://www.leilaoonline.com.br/lote/detalhe/329561", "34177")</f>
      </c>
      <c r="B16" s="4" t="s">
        <f>=HYPERLINK("https://www.leilaoonline.com.br/lote/detalhe/329561", "APROX. 103 ITENS DE PEÇAS DE EQUIPAMENTOS AGRÍCOLAS DIVERSOS (PMG), VEJA DESCRITIVO DE ITENS -LOC. SANTA CANDIDA ")</f>
      </c>
      <c r="C16" s="4" t="inlineStr">
        <is>
          <t>Vendido</t>
        </is>
      </c>
      <c r="D16" s="4" t="inlineStr">
        <is>
          <t>5</t>
        </is>
      </c>
      <c r="E16" s="5" t="inlineStr">
        <is>
          <t>2.000,00</t>
        </is>
      </c>
      <c r="F16" s="4" t="inlineStr">
        <is>
          <t>250.00</t>
        </is>
      </c>
    </row>
    <row collapsed="false" customFormat="false" customHeight="false" hidden="false" ht="12.1" outlineLevel="0" r="17">
      <c r="A17" s="5" t="s">
        <f>=HYPERLINK("https://www.leilaoonline.com.br/lote/detalhe/329854", "34178")</f>
      </c>
      <c r="B17" s="4" t="s">
        <f>=HYPERLINK("https://www.leilaoonline.com.br/lote/detalhe/329854", "01 CAIXA DE SOM CS5000, 01 MODULO DE MICROFONE SEM FIO, 01 MICROFONE - LOC. UNIVALEM/ VALPARAISO")</f>
      </c>
      <c r="C17" s="4" t="inlineStr">
        <is>
          <t>Não vendido</t>
        </is>
      </c>
      <c r="D17" s="4" t="inlineStr">
        <is>
          <t>0</t>
        </is>
      </c>
      <c r="E17" s="5" t="inlineStr">
        <is>
          <t>500,00</t>
        </is>
      </c>
      <c r="F17" s="4" t="inlineStr">
        <is>
          <t>100.00</t>
        </is>
      </c>
    </row>
    <row collapsed="false" customFormat="false" customHeight="false" hidden="false" ht="12.1" outlineLevel="0" r="18">
      <c r="A18" s="5" t="s">
        <f>=HYPERLINK("https://www.leilaoonline.com.br/lote/detalhe/329855", "34179")</f>
      </c>
      <c r="B18" s="4" t="s">
        <f>=HYPERLINK("https://www.leilaoonline.com.br/lote/detalhe/329855", "03 DATASHOW - LOC. UNIVALEM/ VALPARAISO")</f>
      </c>
      <c r="C18" s="4" t="inlineStr">
        <is>
          <t>Não vendido</t>
        </is>
      </c>
      <c r="D18" s="4" t="inlineStr">
        <is>
          <t>4</t>
        </is>
      </c>
      <c r="E18" s="5" t="inlineStr">
        <is>
          <t>450,00</t>
        </is>
      </c>
      <c r="F18" s="4" t="inlineStr">
        <is>
          <t>50.00</t>
        </is>
      </c>
    </row>
    <row collapsed="false" customFormat="false" customHeight="false" hidden="false" ht="12.1" outlineLevel="0" r="19">
      <c r="A19" s="5" t="s">
        <f>=HYPERLINK("https://www.leilaoonline.com.br/lote/detalhe/329856", "34180")</f>
      </c>
      <c r="B19" s="4" t="s">
        <f>=HYPERLINK("https://www.leilaoonline.com.br/lote/detalhe/329856", "02 DATASHOW - LOC. UNIVALEM/ VALPARAISO")</f>
      </c>
      <c r="C19" s="4" t="inlineStr">
        <is>
          <t>Não vendido</t>
        </is>
      </c>
      <c r="D19" s="4" t="inlineStr">
        <is>
          <t>5</t>
        </is>
      </c>
      <c r="E19" s="5" t="inlineStr">
        <is>
          <t>400,00</t>
        </is>
      </c>
      <c r="F19" s="4" t="inlineStr">
        <is>
          <t>50.00</t>
        </is>
      </c>
    </row>
    <row collapsed="false" customFormat="false" customHeight="false" hidden="false" ht="12.1" outlineLevel="0" r="20">
      <c r="A20" s="5" t="s">
        <f>=HYPERLINK("https://www.leilaoonline.com.br/lote/detalhe/329857", "34181")</f>
      </c>
      <c r="B20" s="4" t="s">
        <f>=HYPERLINK("https://www.leilaoonline.com.br/lote/detalhe/329857", "3 GELADEIRAS, TIPO INDUSTRIAL - LOC. SANTA CÂNDIDA")</f>
      </c>
      <c r="C20" s="4" t="inlineStr">
        <is>
          <t>Vendido</t>
        </is>
      </c>
      <c r="D20" s="4" t="inlineStr">
        <is>
          <t>2</t>
        </is>
      </c>
      <c r="E20" s="5" t="inlineStr">
        <is>
          <t>1.250,00</t>
        </is>
      </c>
      <c r="F20" s="4" t="inlineStr">
        <is>
          <t>250.00</t>
        </is>
      </c>
    </row>
    <row collapsed="false" customFormat="false" customHeight="false" hidden="false" ht="12.1" outlineLevel="0" r="21">
      <c r="A21" s="5" t="s">
        <f>=HYPERLINK("https://www.leilaoonline.com.br/lote/detalhe/329865", "34182")</f>
      </c>
      <c r="B21" s="4" t="s">
        <f>=HYPERLINK("https://www.leilaoonline.com.br/lote/detalhe/329865", "LOTE DE PALLETS: 04 SLIP SHEET; 07 CHAPATEX, PALLETS USADOS APROX. 100 PEÇAS - LOC. COSTA PINTO")</f>
      </c>
      <c r="C21" s="4" t="inlineStr">
        <is>
          <t>Vendido</t>
        </is>
      </c>
      <c r="D21" s="4" t="inlineStr">
        <is>
          <t>2</t>
        </is>
      </c>
      <c r="E21" s="5" t="inlineStr">
        <is>
          <t>600,00</t>
        </is>
      </c>
      <c r="F21" s="4" t="inlineStr">
        <is>
          <t>100.00</t>
        </is>
      </c>
    </row>
    <row collapsed="false" customFormat="false" customHeight="false" hidden="false" ht="12.1" outlineLevel="0" r="22">
      <c r="A22" s="5" t="s">
        <f>=HYPERLINK("https://www.leilaoonline.com.br/lote/detalhe/329883", "34183")</f>
      </c>
      <c r="B22" s="4" t="s">
        <f>=HYPERLINK("https://www.leilaoonline.com.br/lote/detalhe/329883", "LOTE DE UTENSÍLIOS E MÓVEIS PARA ESCRITÓRIOS DIVERSOS. - VEJA DESCRITIVO DE ITENS - LOC. SÃO PAULO")</f>
      </c>
      <c r="C22" s="4" t="inlineStr">
        <is>
          <t>Vendido</t>
        </is>
      </c>
      <c r="D22" s="4" t="inlineStr">
        <is>
          <t>6</t>
        </is>
      </c>
      <c r="E22" s="5" t="inlineStr">
        <is>
          <t>1.000,00</t>
        </is>
      </c>
      <c r="F22" s="4" t="inlineStr">
        <is>
          <t>100.00</t>
        </is>
      </c>
    </row>
    <row collapsed="false" customFormat="false" customHeight="false" hidden="false" ht="12.1" outlineLevel="0" r="23">
      <c r="A23" s="5" t="s">
        <f>=HYPERLINK("https://www.leilaoonline.com.br/lote/detalhe/329942", "34184")</f>
      </c>
      <c r="B23" s="4" t="s">
        <f>=HYPERLINK("https://www.leilaoonline.com.br/lote/detalhe/329942", "ITENS DE OBSOLETO DIVERSOS APROX. 85 PEÇAS: SUPORTE FACCHINI, EIXO ANTONIOSI, BRAÇO CASE, PARALAMA VW. E OUTROS - VEJA DESCRITIVO DE ITENS - LOC. BARRA ")</f>
      </c>
      <c r="C23" s="4" t="inlineStr">
        <is>
          <t>Vendido</t>
        </is>
      </c>
      <c r="D23" s="4" t="inlineStr">
        <is>
          <t>2</t>
        </is>
      </c>
      <c r="E23" s="5" t="inlineStr">
        <is>
          <t>1.500,00</t>
        </is>
      </c>
      <c r="F23" s="4" t="inlineStr">
        <is>
          <t>500.00</t>
        </is>
      </c>
    </row>
    <row collapsed="false" customFormat="false" customHeight="false" hidden="false" ht="12.1" outlineLevel="0" r="24">
      <c r="A24" s="5" t="s">
        <f>=HYPERLINK("https://www.leilaoonline.com.br/lote/detalhe/330056", "34185")</f>
      </c>
      <c r="B24" s="4" t="s">
        <f>=HYPERLINK("https://www.leilaoonline.com.br/lote/detalhe/330056", "APROX. 15.464 ITENS DE MANUTENÇÃO INDUSTRIAL - ROLAMENTO, BOMBA, POLIA E OUTROS - (VEJA DESCRITIVO DE ITENS) - LOC. COSTA PINTO")</f>
      </c>
      <c r="C24" s="4" t="inlineStr">
        <is>
          <t>Não vendido</t>
        </is>
      </c>
      <c r="D24" s="4" t="inlineStr">
        <is>
          <t>6</t>
        </is>
      </c>
      <c r="E24" s="5" t="inlineStr">
        <is>
          <t>4.500,00</t>
        </is>
      </c>
      <c r="F24" s="4" t="inlineStr">
        <is>
          <t>500.00</t>
        </is>
      </c>
    </row>
    <row collapsed="false" customFormat="false" customHeight="false" hidden="false" ht="12.1" outlineLevel="0" r="25">
      <c r="A25" s="5" t="s">
        <f>=HYPERLINK("https://www.leilaoonline.com.br/lote/detalhe/330057", "34186")</f>
      </c>
      <c r="B25" s="4" t="s">
        <f>=HYPERLINK("https://www.leilaoonline.com.br/lote/detalhe/330057", "APROX. 79 ITENS DE MANUTENÇÃO AUTOMOTIVA - VÁLVULA, ALTERNADOR, CHICOTE E OUTROS - (VEJA DESCRITIVO DE ITENS) - LOC. COSTA PINTO")</f>
      </c>
      <c r="C25" s="4" t="inlineStr">
        <is>
          <t>Não vendido</t>
        </is>
      </c>
      <c r="D25" s="4" t="inlineStr">
        <is>
          <t>4</t>
        </is>
      </c>
      <c r="E25" s="5" t="inlineStr">
        <is>
          <t>800,00</t>
        </is>
      </c>
      <c r="F25" s="4" t="inlineStr">
        <is>
          <t>100.00</t>
        </is>
      </c>
    </row>
    <row collapsed="false" customFormat="false" customHeight="false" hidden="false" ht="12.1" outlineLevel="0" r="26">
      <c r="A26" s="5" t="s">
        <f>=HYPERLINK("https://www.leilaoonline.com.br/lote/detalhe/330058", "34187")</f>
      </c>
      <c r="B26" s="4" t="s">
        <f>=HYPERLINK("https://www.leilaoonline.com.br/lote/detalhe/330058", "APROX. 1.072 ITENS DE MANUTENÇÃO INDUSTRIAL - VIBRADOR, RETENTOR, MANCAL E OUTROS - (VEJA DESCRITIVO DE ITENS) - LOC. DIAMANTE/BIOMASSA")</f>
      </c>
      <c r="C26" s="4" t="inlineStr">
        <is>
          <t>Não vendido</t>
        </is>
      </c>
      <c r="D26" s="4" t="inlineStr">
        <is>
          <t>3</t>
        </is>
      </c>
      <c r="E26" s="5" t="inlineStr">
        <is>
          <t>3.000,00</t>
        </is>
      </c>
      <c r="F26" s="4" t="inlineStr">
        <is>
          <t>500.00</t>
        </is>
      </c>
    </row>
    <row collapsed="false" customFormat="false" customHeight="false" hidden="false" ht="12.1" outlineLevel="0" r="27">
      <c r="A27" s="5" t="s">
        <f>=HYPERLINK("https://www.leilaoonline.com.br/lote/detalhe/330059", "34188")</f>
      </c>
      <c r="B27" s="4" t="s">
        <f>=HYPERLINK("https://www.leilaoonline.com.br/lote/detalhe/330059", "APROX. 17 ITENS DE MANUTENÇÃO AUTOMOTIVA - ENGRENAGEM, CORREIA, LANTERNA E OUTROS - (VEJA DESCRITIVO DE ITENS) - LOC. DIAMANTE/BIOMASSA")</f>
      </c>
      <c r="C27" s="4" t="inlineStr">
        <is>
          <t>Não vendido</t>
        </is>
      </c>
      <c r="D27" s="4" t="inlineStr">
        <is>
          <t>1</t>
        </is>
      </c>
      <c r="E27" s="5" t="inlineStr">
        <is>
          <t>500,00</t>
        </is>
      </c>
      <c r="F27" s="4" t="inlineStr">
        <is>
          <t>100.00</t>
        </is>
      </c>
    </row>
    <row collapsed="false" customFormat="false" customHeight="false" hidden="false" ht="12.1" outlineLevel="0" r="28">
      <c r="A28" s="5" t="s">
        <f>=HYPERLINK("https://www.leilaoonline.com.br/lote/detalhe/330060", "34189")</f>
      </c>
      <c r="B28" s="4" t="s">
        <f>=HYPERLINK("https://www.leilaoonline.com.br/lote/detalhe/330060", "APROX. 65.054 ITENS DE MANUTENÇÃO INDUSTRIAL - EIXO, TAMPA, VÁLVULA E OUTROS - (VEJA DESCRITIVO DE ITENS) - LOC. SANTA ELISA")</f>
      </c>
      <c r="C28" s="4" t="inlineStr">
        <is>
          <t>Não vendido</t>
        </is>
      </c>
      <c r="D28" s="4" t="inlineStr">
        <is>
          <t>4</t>
        </is>
      </c>
      <c r="E28" s="5" t="inlineStr">
        <is>
          <t>3.500,00</t>
        </is>
      </c>
      <c r="F28" s="4" t="inlineStr">
        <is>
          <t>500.00</t>
        </is>
      </c>
    </row>
    <row collapsed="false" customFormat="false" customHeight="false" hidden="false" ht="12.1" outlineLevel="0" r="29">
      <c r="A29" s="5" t="s">
        <f>=HYPERLINK("https://www.leilaoonline.com.br/lote/detalhe/330061", "34190")</f>
      </c>
      <c r="B29" s="4" t="s">
        <f>=HYPERLINK("https://www.leilaoonline.com.br/lote/detalhe/330061", "APROX. 418 ITENS DE MANUTENÇÃO AUTOMOTIVA - PISTÃO, EIXO, FILTRO E OUTROS - (VEJA DESCRITIVO DE ITENS) - LOC. SANTA ELISA")</f>
      </c>
      <c r="C29" s="4" t="inlineStr">
        <is>
          <t>Não vendido</t>
        </is>
      </c>
      <c r="D29" s="4" t="inlineStr">
        <is>
          <t>8</t>
        </is>
      </c>
      <c r="E29" s="5" t="inlineStr">
        <is>
          <t>1.200,00</t>
        </is>
      </c>
      <c r="F29" s="4" t="inlineStr">
        <is>
          <t>100.00</t>
        </is>
      </c>
    </row>
    <row collapsed="false" customFormat="false" customHeight="false" hidden="false" ht="12.1" outlineLevel="0" r="30">
      <c r="A30" s="5" t="s">
        <f>=HYPERLINK("https://www.leilaoonline.com.br/lote/detalhe/329576", "35318")</f>
      </c>
      <c r="B30" s="4" t="s">
        <f>=HYPERLINK("https://www.leilaoonline.com.br/lote/detalhe/329576", "TRANSBORDO SANTA IZABEL TRIDEM 13T - ANO 2013 - FR11003682. - LOC. VALE DO ROSÁRIO ")</f>
      </c>
      <c r="C30" s="4" t="inlineStr">
        <is>
          <t>Não vendido</t>
        </is>
      </c>
      <c r="D30" s="4" t="inlineStr">
        <is>
          <t>0</t>
        </is>
      </c>
      <c r="E30" s="5" t="inlineStr">
        <is>
          <t>10.000,00</t>
        </is>
      </c>
      <c r="F30" s="4" t="inlineStr">
        <is>
          <t>1000.00</t>
        </is>
      </c>
    </row>
    <row collapsed="false" customFormat="false" customHeight="false" hidden="false" ht="12.1" outlineLevel="0" r="31">
      <c r="A31" s="5" t="s">
        <f>=HYPERLINK("https://www.leilaoonline.com.br/lote/detalhe/329213", "35411")</f>
      </c>
      <c r="B31" s="4" t="s">
        <f>=HYPERLINK("https://www.leilaoonline.com.br/lote/detalhe/329213", "TRANSBORDO CIVEMASA TAC 13000 C/3 EIXOS; ANO 2008. - FR5004809. - LOC. LAGOA DA PRATA ")</f>
      </c>
      <c r="C31" s="4" t="inlineStr">
        <is>
          <t>Vendido</t>
        </is>
      </c>
      <c r="D31" s="4" t="inlineStr">
        <is>
          <t>1</t>
        </is>
      </c>
      <c r="E31" s="5" t="inlineStr">
        <is>
          <t>15.000,00</t>
        </is>
      </c>
      <c r="F31" s="4" t="inlineStr">
        <is>
          <t>1000.00</t>
        </is>
      </c>
    </row>
    <row collapsed="false" customFormat="false" customHeight="false" hidden="false" ht="12.1" outlineLevel="0" r="32">
      <c r="A32" s="5" t="s">
        <f>=HYPERLINK("https://www.leilaoonline.com.br/lote/detalhe/329500", "35417")</f>
      </c>
      <c r="B32" s="4" t="s">
        <f>=HYPERLINK("https://www.leilaoonline.com.br/lote/detalhe/329500", "TRANSBORDO TAC ARR 10500KG 24M³ 4700X3550; ANO 2009. - FR1003019. - LOC. LAGOA DA PRATA ")</f>
      </c>
      <c r="C32" s="4" t="inlineStr">
        <is>
          <t>Não vendido</t>
        </is>
      </c>
      <c r="D32" s="4" t="inlineStr">
        <is>
          <t>0</t>
        </is>
      </c>
      <c r="E32" s="5" t="inlineStr">
        <is>
          <t>10.000,00</t>
        </is>
      </c>
      <c r="F32" s="4" t="inlineStr">
        <is>
          <t>1000.00</t>
        </is>
      </c>
    </row>
    <row collapsed="false" customFormat="false" customHeight="false" hidden="false" ht="12.1" outlineLevel="0" r="33">
      <c r="A33" s="5" t="s">
        <f>=HYPERLINK("https://www.leilaoonline.com.br/lote/detalhe/329575", "35418")</f>
      </c>
      <c r="B33" s="4" t="s">
        <f>=HYPERLINK("https://www.leilaoonline.com.br/lote/detalhe/329575", "TRANSBORDO CIVEMASA TAC 10500 C/2 EIXOS; ANO 2009. - FR1003034. - LOC. LAGOA DA PRATA ")</f>
      </c>
      <c r="C33" s="4" t="inlineStr">
        <is>
          <t>Não vendido</t>
        </is>
      </c>
      <c r="D33" s="4" t="inlineStr">
        <is>
          <t>0</t>
        </is>
      </c>
      <c r="E33" s="5" t="inlineStr">
        <is>
          <t>10.000,00</t>
        </is>
      </c>
      <c r="F33" s="4" t="inlineStr">
        <is>
          <t>1000.00</t>
        </is>
      </c>
    </row>
    <row collapsed="false" customFormat="false" customHeight="false" hidden="false" ht="12.1" outlineLevel="0" r="34">
      <c r="A34" s="5" t="s">
        <f>=HYPERLINK("https://www.leilaoonline.com.br/lote/detalhe/329574", "35419")</f>
      </c>
      <c r="B34" s="4" t="s">
        <f>=HYPERLINK("https://www.leilaoonline.com.br/lote/detalhe/329574", "TRANSBORDO CIVEMASA; ano 2009. - FR1003009. - LOC. LAGOA  DA PRATA ")</f>
      </c>
      <c r="C34" s="4" t="inlineStr">
        <is>
          <t>Não vendido</t>
        </is>
      </c>
      <c r="D34" s="4" t="inlineStr">
        <is>
          <t>0</t>
        </is>
      </c>
      <c r="E34" s="5" t="inlineStr">
        <is>
          <t>10.000,00</t>
        </is>
      </c>
      <c r="F34" s="4" t="inlineStr">
        <is>
          <t>1000.00</t>
        </is>
      </c>
    </row>
    <row collapsed="false" customFormat="false" customHeight="false" hidden="false" ht="12.1" outlineLevel="0" r="35">
      <c r="A35" s="5" t="s">
        <f>=HYPERLINK("https://www.leilaoonline.com.br/lote/detalhe/329357", "35469")</f>
      </c>
      <c r="B35" s="4" t="s">
        <f>=HYPERLINK("https://www.leilaoonline.com.br/lote/detalhe/329357", " CARRETA AGRÍCOLA COM IMPLEMENTO AGRÍCOLA. - FR67187 - LOC. BOM RETIRO ")</f>
      </c>
      <c r="C35" s="4" t="inlineStr">
        <is>
          <t>Vendido</t>
        </is>
      </c>
      <c r="D35" s="4" t="inlineStr">
        <is>
          <t>28</t>
        </is>
      </c>
      <c r="E35" s="5" t="inlineStr">
        <is>
          <t>18.500,00</t>
        </is>
      </c>
      <c r="F35" s="4" t="inlineStr">
        <is>
          <t>500.00</t>
        </is>
      </c>
    </row>
    <row collapsed="false" customFormat="false" customHeight="false" hidden="false" ht="12.1" outlineLevel="0" r="36">
      <c r="A36" s="5" t="s">
        <f>=HYPERLINK("https://www.leilaoonline.com.br/lote/detalhe/329355", "35763")</f>
      </c>
      <c r="B36" s="4" t="s">
        <f>=HYPERLINK("https://www.leilaoonline.com.br/lote/detalhe/329355", " PLANTADEIRA. - FR20330. - LOC. DIAMANTE ")</f>
      </c>
      <c r="C36" s="4" t="inlineStr">
        <is>
          <t>Não vendido</t>
        </is>
      </c>
      <c r="D36" s="4" t="inlineStr">
        <is>
          <t>0</t>
        </is>
      </c>
      <c r="E36" s="5" t="inlineStr">
        <is>
          <t>10.000,00</t>
        </is>
      </c>
      <c r="F36" s="4" t="inlineStr">
        <is>
          <t>1000.00</t>
        </is>
      </c>
    </row>
    <row collapsed="false" customFormat="false" customHeight="false" hidden="false" ht="12.1" outlineLevel="0" r="37">
      <c r="A37" s="5" t="s">
        <f>=HYPERLINK("https://www.leilaoonline.com.br/lote/detalhe/329358", "35764")</f>
      </c>
      <c r="B37" s="4" t="s">
        <f>=HYPERLINK("https://www.leilaoonline.com.br/lote/detalhe/329358", " PLANTADEIRA. - FR20312. - LOC. DIAMANTE")</f>
      </c>
      <c r="C37" s="4" t="inlineStr">
        <is>
          <t>Não vendido</t>
        </is>
      </c>
      <c r="D37" s="4" t="inlineStr">
        <is>
          <t>0</t>
        </is>
      </c>
      <c r="E37" s="5" t="inlineStr">
        <is>
          <t>10.000,00</t>
        </is>
      </c>
      <c r="F37" s="4" t="inlineStr">
        <is>
          <t>1000.00</t>
        </is>
      </c>
    </row>
    <row collapsed="false" customFormat="false" customHeight="false" hidden="false" ht="12.1" outlineLevel="0" r="38">
      <c r="A38" s="5" t="s">
        <f>=HYPERLINK("https://www.leilaoonline.com.br/lote/detalhe/329188", "35834")</f>
      </c>
      <c r="B38" s="4" t="s">
        <f>=HYPERLINK("https://www.leilaoonline.com.br/lote/detalhe/329188", " COLHEDORA CASE III; ANO 2018. - FR11002202. - LOC. VALE DO ROSÁRIO")</f>
      </c>
      <c r="C38" s="4" t="inlineStr">
        <is>
          <t>Não vendido</t>
        </is>
      </c>
      <c r="D38" s="4" t="inlineStr">
        <is>
          <t>0</t>
        </is>
      </c>
      <c r="E38" s="5" t="inlineStr">
        <is>
          <t>150.000,00</t>
        </is>
      </c>
      <c r="F38" s="4" t="inlineStr">
        <is>
          <t>2500.00</t>
        </is>
      </c>
    </row>
    <row collapsed="false" customFormat="false" customHeight="false" hidden="false" ht="12.1" outlineLevel="0" r="39">
      <c r="A39" s="5" t="s">
        <f>=HYPERLINK("https://www.leilaoonline.com.br/lote/detalhe/329496", "35893")</f>
      </c>
      <c r="B39" s="4" t="s">
        <f>=HYPERLINK("https://www.leilaoonline.com.br/lote/detalhe/329496", " 01 TURBINA/ 01 TROCADOR DE CALOR. - LOC. MUNDIAL")</f>
      </c>
      <c r="C39" s="4" t="inlineStr">
        <is>
          <t>Vendido</t>
        </is>
      </c>
      <c r="D39" s="4" t="inlineStr">
        <is>
          <t>1</t>
        </is>
      </c>
      <c r="E39" s="5" t="inlineStr">
        <is>
          <t>2.500,00</t>
        </is>
      </c>
      <c r="F39" s="4" t="inlineStr">
        <is>
          <t>500.00</t>
        </is>
      </c>
    </row>
    <row collapsed="false" customFormat="false" customHeight="false" hidden="false" ht="12.1" outlineLevel="0" r="40">
      <c r="A40" s="5" t="s">
        <f>=HYPERLINK("https://www.leilaoonline.com.br/lote/detalhe/329347", "36025")</f>
      </c>
      <c r="B40" s="4" t="s">
        <f>=HYPERLINK("https://www.leilaoonline.com.br/lote/detalhe/329347", "REBOQUE 4E RANDON 12,50M C/ RALA; ANO 2009/2009; LARANJA. - FR4455153. - LOC. CAARAPÓ")</f>
      </c>
      <c r="C40" s="4" t="inlineStr">
        <is>
          <t>Vendido</t>
        </is>
      </c>
      <c r="D40" s="4" t="inlineStr">
        <is>
          <t>25</t>
        </is>
      </c>
      <c r="E40" s="5" t="inlineStr">
        <is>
          <t>40.000,00</t>
        </is>
      </c>
      <c r="F40" s="4" t="inlineStr">
        <is>
          <t>1000.00</t>
        </is>
      </c>
    </row>
    <row collapsed="false" customFormat="false" customHeight="false" hidden="false" ht="12.1" outlineLevel="0" r="41">
      <c r="A41" s="5" t="s">
        <f>=HYPERLINK("https://www.leilaoonline.com.br/lote/detalhe/329504", "36128")</f>
      </c>
      <c r="B41" s="4" t="s">
        <f>=HYPERLINK("https://www.leilaoonline.com.br/lote/detalhe/329504", "APROXIMADAMENTE 80 RODAS SUCATEADAS - LOC. CAARAPÓ")</f>
      </c>
      <c r="C41" s="4" t="inlineStr">
        <is>
          <t>Vendido</t>
        </is>
      </c>
      <c r="D41" s="4" t="inlineStr">
        <is>
          <t>1</t>
        </is>
      </c>
      <c r="E41" s="5" t="inlineStr">
        <is>
          <t>2.000,00</t>
        </is>
      </c>
      <c r="F41" s="4" t="inlineStr">
        <is>
          <t>500.00</t>
        </is>
      </c>
    </row>
    <row collapsed="false" customFormat="false" customHeight="false" hidden="false" ht="12.1" outlineLevel="0" r="42">
      <c r="A42" s="5" t="s">
        <f>=HYPERLINK("https://www.leilaoonline.com.br/lote/detalhe/329187", "36157")</f>
      </c>
      <c r="B42" s="4" t="s">
        <f>=HYPERLINK("https://www.leilaoonline.com.br/lote/detalhe/329187", "COLHEDORA CASE III; ANO 2018. - FR9002607. - LOC. VALE DO ROSÁRIO")</f>
      </c>
      <c r="C42" s="4" t="inlineStr">
        <is>
          <t>Não vendido</t>
        </is>
      </c>
      <c r="D42" s="4" t="inlineStr">
        <is>
          <t>0</t>
        </is>
      </c>
      <c r="E42" s="5" t="inlineStr">
        <is>
          <t>150.000,00</t>
        </is>
      </c>
      <c r="F42" s="4" t="inlineStr">
        <is>
          <t>2500.00</t>
        </is>
      </c>
    </row>
    <row collapsed="false" customFormat="false" customHeight="false" hidden="false" ht="12.1" outlineLevel="0" r="43">
      <c r="A43" s="5" t="s">
        <f>=HYPERLINK("https://www.leilaoonline.com.br/lote/detalhe/329215", "36286")</f>
      </c>
      <c r="B43" s="4" t="s">
        <f>=HYPERLINK("https://www.leilaoonline.com.br/lote/detalhe/329215", "TRANSBORDO SANTA IZABEL TRIDEM 13T - ANO 2014 - FR11003060 - LOC. VALE DO ROSÁRIO ")</f>
      </c>
      <c r="C43" s="4" t="inlineStr">
        <is>
          <t>Não vendido</t>
        </is>
      </c>
      <c r="D43" s="4" t="inlineStr">
        <is>
          <t>2</t>
        </is>
      </c>
      <c r="E43" s="5" t="inlineStr">
        <is>
          <t>16.000,00</t>
        </is>
      </c>
      <c r="F43" s="4" t="inlineStr">
        <is>
          <t>1000.00</t>
        </is>
      </c>
    </row>
    <row collapsed="false" customFormat="false" customHeight="false" hidden="false" ht="12.1" outlineLevel="0" r="44">
      <c r="A44" s="5" t="s">
        <f>=HYPERLINK("https://www.leilaoonline.com.br/lote/detalhe/329193", "36353")</f>
      </c>
      <c r="B44" s="4" t="s">
        <f>=HYPERLINK("https://www.leilaoonline.com.br/lote/detalhe/329193", "TRATOR JOHN DEERE 7225 J 4X4 - ANO 2016 - FR115709 - LOC. SANTA CÂNDIDA")</f>
      </c>
      <c r="C44" s="4" t="inlineStr">
        <is>
          <t>Não vendido</t>
        </is>
      </c>
      <c r="D44" s="4" t="inlineStr">
        <is>
          <t>0</t>
        </is>
      </c>
      <c r="E44" s="5" t="inlineStr">
        <is>
          <t>100.000,00</t>
        </is>
      </c>
      <c r="F44" s="4" t="inlineStr">
        <is>
          <t>2500.00</t>
        </is>
      </c>
    </row>
    <row collapsed="false" customFormat="false" customHeight="false" hidden="false" ht="12.1" outlineLevel="0" r="45">
      <c r="A45" s="5" t="s">
        <f>=HYPERLINK("https://www.leilaoonline.com.br/lote/detalhe/329194", "36355")</f>
      </c>
      <c r="B45" s="4" t="s">
        <f>=HYPERLINK("https://www.leilaoonline.com.br/lote/detalhe/329194", "TRATOR JOHN DEERE 7225 J 4X4 - ANO 2016 - FR115714 - LOC. SANTA CÂNDIDA")</f>
      </c>
      <c r="C45" s="4" t="inlineStr">
        <is>
          <t>Não vendido</t>
        </is>
      </c>
      <c r="D45" s="4" t="inlineStr">
        <is>
          <t>0</t>
        </is>
      </c>
      <c r="E45" s="5" t="inlineStr">
        <is>
          <t>100.000,00</t>
        </is>
      </c>
      <c r="F45" s="4" t="inlineStr">
        <is>
          <t>2500.00</t>
        </is>
      </c>
    </row>
    <row collapsed="false" customFormat="false" customHeight="false" hidden="false" ht="12.1" outlineLevel="0" r="46">
      <c r="A46" s="5" t="s">
        <f>=HYPERLINK("https://www.leilaoonline.com.br/lote/detalhe/329195", "36356")</f>
      </c>
      <c r="B46" s="4" t="s">
        <f>=HYPERLINK("https://www.leilaoonline.com.br/lote/detalhe/329195", "TRATOR JOHN DEERE 7225 J 4X4 - ANO 2016 - FR115700 - LOC. SANTA CÂNDIDA")</f>
      </c>
      <c r="C46" s="4" t="inlineStr">
        <is>
          <t>Não vendido</t>
        </is>
      </c>
      <c r="D46" s="4" t="inlineStr">
        <is>
          <t>0</t>
        </is>
      </c>
      <c r="E46" s="5" t="inlineStr">
        <is>
          <t>100.000,00</t>
        </is>
      </c>
      <c r="F46" s="4" t="inlineStr">
        <is>
          <t>2500.00</t>
        </is>
      </c>
    </row>
    <row collapsed="false" customFormat="false" customHeight="false" hidden="false" ht="12.1" outlineLevel="0" r="47">
      <c r="A47" s="5" t="s">
        <f>=HYPERLINK("https://www.leilaoonline.com.br/lote/detalhe/329356", "36392")</f>
      </c>
      <c r="B47" s="4" t="s">
        <f>=HYPERLINK("https://www.leilaoonline.com.br/lote/detalhe/329356", " CARRETA DE VIVÊNCIA (R/SERNAUTO 001); ANO 2014/2014; AZUL. - FR37803. - LOC. BOM RETIRO ")</f>
      </c>
      <c r="C47" s="4" t="inlineStr">
        <is>
          <t>Vendido</t>
        </is>
      </c>
      <c r="D47" s="4" t="inlineStr">
        <is>
          <t>10</t>
        </is>
      </c>
      <c r="E47" s="5" t="inlineStr">
        <is>
          <t>7.500,00</t>
        </is>
      </c>
      <c r="F47" s="4" t="inlineStr">
        <is>
          <t>500.00</t>
        </is>
      </c>
    </row>
    <row collapsed="false" customFormat="false" customHeight="false" hidden="false" ht="12.1" outlineLevel="0" r="48">
      <c r="A48" s="5" t="s">
        <f>=HYPERLINK("https://www.leilaoonline.com.br/lote/detalhe/329359", "36393")</f>
      </c>
      <c r="B48" s="4" t="s">
        <f>=HYPERLINK("https://www.leilaoonline.com.br/lote/detalhe/329359", " CARRETA DE VIVÊNCIA. - FR67153. - LOC. BOM RETIRO ")</f>
      </c>
      <c r="C48" s="4" t="inlineStr">
        <is>
          <t>Não vendido</t>
        </is>
      </c>
      <c r="D48" s="4" t="inlineStr">
        <is>
          <t>0</t>
        </is>
      </c>
      <c r="E48" s="5" t="inlineStr">
        <is>
          <t>3.000,00</t>
        </is>
      </c>
      <c r="F48" s="4" t="inlineStr">
        <is>
          <t>500.00</t>
        </is>
      </c>
    </row>
    <row collapsed="false" customFormat="false" customHeight="false" hidden="false" ht="12.1" outlineLevel="0" r="49">
      <c r="A49" s="5" t="s">
        <f>=HYPERLINK("https://www.leilaoonline.com.br/lote/detalhe/329360", "36395")</f>
      </c>
      <c r="B49" s="4" t="s">
        <f>=HYPERLINK("https://www.leilaoonline.com.br/lote/detalhe/329360", " CARRETA AGRÍCOLA. - FR67184. - LOC. BOM RETIRO")</f>
      </c>
      <c r="C49" s="4" t="inlineStr">
        <is>
          <t>Vendido</t>
        </is>
      </c>
      <c r="D49" s="4" t="inlineStr">
        <is>
          <t>31</t>
        </is>
      </c>
      <c r="E49" s="5" t="inlineStr">
        <is>
          <t>18.500,00</t>
        </is>
      </c>
      <c r="F49" s="4" t="inlineStr">
        <is>
          <t>500.00</t>
        </is>
      </c>
    </row>
    <row collapsed="false" customFormat="false" customHeight="false" hidden="false" ht="12.1" outlineLevel="0" r="50">
      <c r="A50" s="5" t="s">
        <f>=HYPERLINK("https://www.leilaoonline.com.br/lote/detalhe/329668", "36425")</f>
      </c>
      <c r="B50" s="4" t="s">
        <f>=HYPERLINK("https://www.leilaoonline.com.br/lote/detalhe/329668", "APROX. 34 CADEIRAS UNIVERSITÁRIAS; 01 TELA PROJEÇÃO. - SALA 04 - UND. BARRA - LOC. IGARAÇU DO TIETÊ")</f>
      </c>
      <c r="C50" s="4" t="inlineStr">
        <is>
          <t>Vendido</t>
        </is>
      </c>
      <c r="D50" s="4" t="inlineStr">
        <is>
          <t>16</t>
        </is>
      </c>
      <c r="E50" s="5" t="inlineStr">
        <is>
          <t>3.000,00</t>
        </is>
      </c>
      <c r="F50" s="4" t="inlineStr">
        <is>
          <t>100.00</t>
        </is>
      </c>
    </row>
    <row collapsed="false" customFormat="false" customHeight="false" hidden="false" ht="12.1" outlineLevel="0" r="51">
      <c r="A51" s="5" t="s">
        <f>=HYPERLINK("https://www.leilaoonline.com.br/lote/detalhe/329712", "36434")</f>
      </c>
      <c r="B51" s="4" t="s">
        <f>=HYPERLINK("https://www.leilaoonline.com.br/lote/detalhe/329712", "MÓVEIS, EQUIPAMENTOS E ELETRODOMÉSTICOS PARA COZINHA: ARMÁRIO PLANEJADO, ARMÁRIO DE AÇO, 01 FORNO BRASTEMP, 01 FREEZER VERTICAL, 01 GELADEIRA CONSUL, 01 FOGÃO CONSUL, (GELADEIRA BRASTEMP NÃO FAZ PARTE DO LOTE) E ELETRODOMÉSTICOS CONFORME DESCRIÇÃO DE FOTOS. - LOC. IGARAÇU DO TIETÊ")</f>
      </c>
      <c r="C51" s="4" t="inlineStr">
        <is>
          <t>Não vendido</t>
        </is>
      </c>
      <c r="D51" s="4" t="inlineStr">
        <is>
          <t>4</t>
        </is>
      </c>
      <c r="E51" s="5" t="inlineStr">
        <is>
          <t>1.450,00</t>
        </is>
      </c>
      <c r="F51" s="4" t="inlineStr">
        <is>
          <t>150.00</t>
        </is>
      </c>
    </row>
    <row collapsed="false" customFormat="false" customHeight="false" hidden="false" ht="12.1" outlineLevel="0" r="52">
      <c r="A52" s="5" t="s">
        <f>=HYPERLINK("https://www.leilaoonline.com.br/lote/detalhe/329669", "36441")</f>
      </c>
      <c r="B52" s="4" t="s">
        <f>=HYPERLINK("https://www.leilaoonline.com.br/lote/detalhe/329669", "03 TV`S DE APROX. 40 POLEGADAS - N/A. - UND. BARRA - LOC. IGARAÇU DO TIETÊ")</f>
      </c>
      <c r="C52" s="4" t="inlineStr">
        <is>
          <t>Vendido</t>
        </is>
      </c>
      <c r="D52" s="4" t="inlineStr">
        <is>
          <t>5</t>
        </is>
      </c>
      <c r="E52" s="5" t="inlineStr">
        <is>
          <t>1.200,00</t>
        </is>
      </c>
      <c r="F52" s="4" t="inlineStr">
        <is>
          <t>100.00</t>
        </is>
      </c>
    </row>
    <row collapsed="false" customFormat="false" customHeight="false" hidden="false" ht="12.1" outlineLevel="0" r="53">
      <c r="A53" s="5" t="s">
        <f>=HYPERLINK("https://www.leilaoonline.com.br/lote/detalhe/329686", "36448")</f>
      </c>
      <c r="B53" s="4" t="s">
        <f>=HYPERLINK("https://www.leilaoonline.com.br/lote/detalhe/329686", "02 APARELHOS DE AR-CONDICIONADO DE APROX. 30.000 BTUS. - UND. BARRA - LOC. IGARAÇU DO TIETÊ")</f>
      </c>
      <c r="C53" s="4" t="inlineStr">
        <is>
          <t>Vendido</t>
        </is>
      </c>
      <c r="D53" s="4" t="inlineStr">
        <is>
          <t>5</t>
        </is>
      </c>
      <c r="E53" s="5" t="inlineStr">
        <is>
          <t>2.250,00</t>
        </is>
      </c>
      <c r="F53" s="4" t="inlineStr">
        <is>
          <t>250.00</t>
        </is>
      </c>
    </row>
    <row collapsed="false" customFormat="false" customHeight="false" hidden="false" ht="12.1" outlineLevel="0" r="54">
      <c r="A54" s="5" t="s">
        <f>=HYPERLINK("https://www.leilaoonline.com.br/lote/detalhe/329687", "36449")</f>
      </c>
      <c r="B54" s="4" t="s">
        <f>=HYPERLINK("https://www.leilaoonline.com.br/lote/detalhe/329687", "07 APARELHOS DE AR-CONDICIONADO DE 10.000 A 26.000 BTUS APROX. - UND. BARRA - LOC. IGARAÇU DO TIETÊ")</f>
      </c>
      <c r="C54" s="4" t="inlineStr">
        <is>
          <t>Não vendido</t>
        </is>
      </c>
      <c r="D54" s="4" t="inlineStr">
        <is>
          <t>9</t>
        </is>
      </c>
      <c r="E54" s="5" t="inlineStr">
        <is>
          <t>5.000,00</t>
        </is>
      </c>
      <c r="F54" s="4" t="inlineStr">
        <is>
          <t>500.00</t>
        </is>
      </c>
    </row>
    <row collapsed="false" customFormat="false" customHeight="false" hidden="false" ht="12.1" outlineLevel="0" r="55">
      <c r="A55" s="5" t="s">
        <f>=HYPERLINK("https://www.leilaoonline.com.br/lote/detalhe/329678", "36700")</f>
      </c>
      <c r="B55" s="4" t="s">
        <f>=HYPERLINK("https://www.leilaoonline.com.br/lote/detalhe/329678", "APROX. 02 ARMÁRIOS, 01 CADEIRA PRETA, 04 MESAS, 08 CADEIRAS LARANJAS, 01 BEBEDOURO. - LOC. JATAI ")</f>
      </c>
      <c r="C55" s="4" t="inlineStr">
        <is>
          <t>Vendido</t>
        </is>
      </c>
      <c r="D55" s="4" t="inlineStr">
        <is>
          <t>4</t>
        </is>
      </c>
      <c r="E55" s="5" t="inlineStr">
        <is>
          <t>1.750,00</t>
        </is>
      </c>
      <c r="F55" s="4" t="inlineStr">
        <is>
          <t>250.00</t>
        </is>
      </c>
    </row>
    <row collapsed="false" customFormat="false" customHeight="false" hidden="false" ht="12.1" outlineLevel="0" r="56">
      <c r="A56" s="5" t="s">
        <f>=HYPERLINK("https://www.leilaoonline.com.br/lote/detalhe/329679", "36701")</f>
      </c>
      <c r="B56" s="4" t="s">
        <f>=HYPERLINK("https://www.leilaoonline.com.br/lote/detalhe/329679", "APROX. 01 MESA REDONDA C/ 04 CADEIRAS AZUIS, 02 MESAS C/ 03 GAVETAS, 07 ARMÁRIOS, 02 QUADROS, 05 PRATELEIRAS. - PT.147978/147947/143564/143351/143352/147924/143375. - LOC JATAI ")</f>
      </c>
      <c r="C56" s="4" t="inlineStr">
        <is>
          <t>Vendido</t>
        </is>
      </c>
      <c r="D56" s="4" t="inlineStr">
        <is>
          <t>3</t>
        </is>
      </c>
      <c r="E56" s="5" t="inlineStr">
        <is>
          <t>1.500,00</t>
        </is>
      </c>
      <c r="F56" s="4" t="inlineStr">
        <is>
          <t>250.00</t>
        </is>
      </c>
    </row>
    <row collapsed="false" customFormat="false" customHeight="false" hidden="false" ht="12.1" outlineLevel="0" r="57">
      <c r="A57" s="5" t="s">
        <f>=HYPERLINK("https://www.leilaoonline.com.br/lote/detalhe/329680", "36702")</f>
      </c>
      <c r="B57" s="4" t="s">
        <f>=HYPERLINK("https://www.leilaoonline.com.br/lote/detalhe/329680", "LOTE DE MÓVEIS: MESA C/ CADEIRA, ARMÁRIO, ARQUIVO C/ 4 GAVETAS, LONGARINA 3 CADEIRAS, MESA DE CENTRO E APARADOR - LOC. JATAI ")</f>
      </c>
      <c r="C57" s="4" t="inlineStr">
        <is>
          <t>Vendido</t>
        </is>
      </c>
      <c r="D57" s="4" t="inlineStr">
        <is>
          <t>2</t>
        </is>
      </c>
      <c r="E57" s="5" t="inlineStr">
        <is>
          <t>800,00</t>
        </is>
      </c>
      <c r="F57" s="4" t="inlineStr">
        <is>
          <t>100.00</t>
        </is>
      </c>
    </row>
    <row collapsed="false" customFormat="false" customHeight="false" hidden="false" ht="12.1" outlineLevel="0" r="58">
      <c r="A58" s="5" t="s">
        <f>=HYPERLINK("https://www.leilaoonline.com.br/lote/detalhe/329577", "36703")</f>
      </c>
      <c r="B58" s="4" t="s">
        <f>=HYPERLINK("https://www.leilaoonline.com.br/lote/detalhe/329577", "MÁQUINA DE LAVAR BRASTEMP 12 KG, 220V - LOC. JATAÍ")</f>
      </c>
      <c r="C58" s="4" t="inlineStr">
        <is>
          <t>Vendido</t>
        </is>
      </c>
      <c r="D58" s="4" t="inlineStr">
        <is>
          <t>7</t>
        </is>
      </c>
      <c r="E58" s="5" t="inlineStr">
        <is>
          <t>550,00</t>
        </is>
      </c>
      <c r="F58" s="4" t="inlineStr">
        <is>
          <t>50.00</t>
        </is>
      </c>
    </row>
    <row collapsed="false" customFormat="false" customHeight="false" hidden="false" ht="12.1" outlineLevel="0" r="59">
      <c r="A59" s="5" t="s">
        <f>=HYPERLINK("https://www.leilaoonline.com.br/lote/detalhe/329681", "36704")</f>
      </c>
      <c r="B59" s="4" t="s">
        <f>=HYPERLINK("https://www.leilaoonline.com.br/lote/detalhe/329681", "01 FRIGOBAR CONSUL, 01 GELADEIRA SAMSUNG, 01 TELEVISÃO PANASONIC E 01MICROONDAS ELECTROLUX. - LOC. JATAI ")</f>
      </c>
      <c r="C59" s="4" t="inlineStr">
        <is>
          <t>Vendido</t>
        </is>
      </c>
      <c r="D59" s="4" t="inlineStr">
        <is>
          <t>3</t>
        </is>
      </c>
      <c r="E59" s="5" t="inlineStr">
        <is>
          <t>1.500,00</t>
        </is>
      </c>
      <c r="F59" s="4" t="inlineStr">
        <is>
          <t>150.00</t>
        </is>
      </c>
    </row>
    <row collapsed="false" customFormat="false" customHeight="false" hidden="false" ht="12.1" outlineLevel="0" r="60">
      <c r="A60" s="5" t="s">
        <f>=HYPERLINK("https://www.leilaoonline.com.br/lote/detalhe/329682", "36705")</f>
      </c>
      <c r="B60" s="4" t="s">
        <f>=HYPERLINK("https://www.leilaoonline.com.br/lote/detalhe/329682", "03 PROJETORES, 01 NOBREAK, FAX, IMPRESSORAS E PERIFÉRICOS. - LOC. JATAI ")</f>
      </c>
      <c r="C60" s="4" t="inlineStr">
        <is>
          <t>Vendido</t>
        </is>
      </c>
      <c r="D60" s="4" t="inlineStr">
        <is>
          <t>2</t>
        </is>
      </c>
      <c r="E60" s="5" t="inlineStr">
        <is>
          <t>900,00</t>
        </is>
      </c>
      <c r="F60" s="4" t="inlineStr">
        <is>
          <t>100.00</t>
        </is>
      </c>
    </row>
    <row collapsed="false" customFormat="false" customHeight="false" hidden="false" ht="12.1" outlineLevel="0" r="61">
      <c r="A61" s="5" t="s">
        <f>=HYPERLINK("https://www.leilaoonline.com.br/lote/detalhe/329683", "36706")</f>
      </c>
      <c r="B61" s="4" t="s">
        <f>=HYPERLINK("https://www.leilaoonline.com.br/lote/detalhe/329683", "25 COMPUTADORES, 23 MONITORES. - LOC, JATAI ")</f>
      </c>
      <c r="C61" s="4" t="inlineStr">
        <is>
          <t>Vendido</t>
        </is>
      </c>
      <c r="D61" s="4" t="inlineStr">
        <is>
          <t>7</t>
        </is>
      </c>
      <c r="E61" s="5" t="inlineStr">
        <is>
          <t>4.000,00</t>
        </is>
      </c>
      <c r="F61" s="4" t="inlineStr">
        <is>
          <t>500.00</t>
        </is>
      </c>
    </row>
    <row collapsed="false" customFormat="false" customHeight="false" hidden="false" ht="12.1" outlineLevel="0" r="62">
      <c r="A62" s="5" t="s">
        <f>=HYPERLINK("https://www.leilaoonline.com.br/lote/detalhe/329684", "36708")</f>
      </c>
      <c r="B62" s="4" t="s">
        <f>=HYPERLINK("https://www.leilaoonline.com.br/lote/detalhe/329684", "APROX. 59 CHROMEBOOKS POSITIVO. - LOC. JATAI ")</f>
      </c>
      <c r="C62" s="4" t="inlineStr">
        <is>
          <t>Vendido</t>
        </is>
      </c>
      <c r="D62" s="4" t="inlineStr">
        <is>
          <t>3</t>
        </is>
      </c>
      <c r="E62" s="5" t="inlineStr">
        <is>
          <t>3.000,00</t>
        </is>
      </c>
      <c r="F62" s="4" t="inlineStr">
        <is>
          <t>500.00</t>
        </is>
      </c>
    </row>
    <row collapsed="false" customFormat="false" customHeight="false" hidden="false" ht="12.1" outlineLevel="0" r="63">
      <c r="A63" s="5" t="s">
        <f>=HYPERLINK("https://www.leilaoonline.com.br/lote/detalhe/329685", "36709")</f>
      </c>
      <c r="B63" s="4" t="s">
        <f>=HYPERLINK("https://www.leilaoonline.com.br/lote/detalhe/329685", "APROX. 05 NOTEBOOKS . - LOC. JATAI ")</f>
      </c>
      <c r="C63" s="4" t="inlineStr">
        <is>
          <t>Vendido</t>
        </is>
      </c>
      <c r="D63" s="4" t="inlineStr">
        <is>
          <t>7</t>
        </is>
      </c>
      <c r="E63" s="5" t="inlineStr">
        <is>
          <t>4.000,00</t>
        </is>
      </c>
      <c r="F63" s="4" t="inlineStr">
        <is>
          <t>500.00</t>
        </is>
      </c>
    </row>
    <row collapsed="false" customFormat="false" customHeight="false" hidden="false" ht="12.1" outlineLevel="0" r="64">
      <c r="A64" s="5" t="s">
        <f>=HYPERLINK("https://www.leilaoonline.com.br/lote/detalhe/329502", "36714")</f>
      </c>
      <c r="B64" s="4" t="s">
        <f>=HYPERLINK("https://www.leilaoonline.com.br/lote/detalhe/329502", "COLHEDORA CASE 8800 - ANO 2015 - FR4465089 - LOC. CAARAPÓ")</f>
      </c>
      <c r="C64" s="4" t="inlineStr">
        <is>
          <t>Vendido</t>
        </is>
      </c>
      <c r="D64" s="4" t="inlineStr">
        <is>
          <t>72</t>
        </is>
      </c>
      <c r="E64" s="5" t="inlineStr">
        <is>
          <t>104.000,00</t>
        </is>
      </c>
      <c r="F64" s="4" t="inlineStr">
        <is>
          <t>1000.00</t>
        </is>
      </c>
    </row>
    <row collapsed="false" customFormat="false" customHeight="false" hidden="false" ht="12.1" outlineLevel="0" r="65">
      <c r="A65" s="5" t="s">
        <f>=HYPERLINK("https://www.leilaoonline.com.br/lote/detalhe/329503", "36715")</f>
      </c>
      <c r="B65" s="4" t="s">
        <f>=HYPERLINK("https://www.leilaoonline.com.br/lote/detalhe/329503", "COLHEDORA CASE 8800 - ANO 2016 - FR4465096 - LOC. CAARAPÓ")</f>
      </c>
      <c r="C65" s="4" t="inlineStr">
        <is>
          <t>Vendido</t>
        </is>
      </c>
      <c r="D65" s="4" t="inlineStr">
        <is>
          <t>72</t>
        </is>
      </c>
      <c r="E65" s="5" t="inlineStr">
        <is>
          <t>121.000,00</t>
        </is>
      </c>
      <c r="F65" s="4" t="inlineStr">
        <is>
          <t>1000.00</t>
        </is>
      </c>
    </row>
    <row collapsed="false" customFormat="false" customHeight="false" hidden="false" ht="12.1" outlineLevel="0" r="66">
      <c r="A66" s="5" t="s">
        <f>=HYPERLINK("https://www.leilaoonline.com.br/lote/detalhe/329505", "36716")</f>
      </c>
      <c r="B66" s="4" t="s">
        <f>=HYPERLINK("https://www.leilaoonline.com.br/lote/detalhe/329505", "SEMI REBOQUE USICAMP SRCP E2 10000 (CARRETA TANQUE) - ANO 2000/2000 - PRETA - FR4451061 - LOC. CAARAPÓ")</f>
      </c>
      <c r="C66" s="4" t="inlineStr">
        <is>
          <t>Vendido</t>
        </is>
      </c>
      <c r="D66" s="4" t="inlineStr">
        <is>
          <t>16</t>
        </is>
      </c>
      <c r="E66" s="5" t="inlineStr">
        <is>
          <t>35.000,00</t>
        </is>
      </c>
      <c r="F66" s="4" t="inlineStr">
        <is>
          <t>1000.00</t>
        </is>
      </c>
    </row>
    <row collapsed="false" customFormat="false" customHeight="false" hidden="false" ht="12.1" outlineLevel="0" r="67">
      <c r="A67" s="5" t="s">
        <f>=HYPERLINK("https://www.leilaoonline.com.br/lote/detalhe/329506", "36717")</f>
      </c>
      <c r="B67" s="4" t="s">
        <f>=HYPERLINK("https://www.leilaoonline.com.br/lote/detalhe/329506", "PRANCHA COM CARROCERIA MUNCK (SR/USICAMP SRCTUS 2E) - ANO 2017/2017 - AMARELA - FR4455195/FR4455196 - LOC. CAARAPÓ")</f>
      </c>
      <c r="C67" s="4" t="inlineStr">
        <is>
          <t>Vendido</t>
        </is>
      </c>
      <c r="D67" s="4" t="inlineStr">
        <is>
          <t>52</t>
        </is>
      </c>
      <c r="E67" s="5" t="inlineStr">
        <is>
          <t>158.000,00</t>
        </is>
      </c>
      <c r="F67" s="4" t="inlineStr">
        <is>
          <t>2000.00</t>
        </is>
      </c>
    </row>
    <row collapsed="false" customFormat="false" customHeight="false" hidden="false" ht="12.1" outlineLevel="0" r="68">
      <c r="A68" s="5" t="s">
        <f>=HYPERLINK("https://www.leilaoonline.com.br/lote/detalhe/329507", "36718")</f>
      </c>
      <c r="B68" s="4" t="s">
        <f>=HYPERLINK("https://www.leilaoonline.com.br/lote/detalhe/329507", "SEMI REBOQUE USICAMP RBT E2 10000 (CARRETA TANQUE) - ANO 2014/2014 - AMARELA - FR4455093 - LOC. CAARAPÓ")</f>
      </c>
      <c r="C68" s="4" t="inlineStr">
        <is>
          <t>Vendido</t>
        </is>
      </c>
      <c r="D68" s="4" t="inlineStr">
        <is>
          <t>14</t>
        </is>
      </c>
      <c r="E68" s="5" t="inlineStr">
        <is>
          <t>28.000,00</t>
        </is>
      </c>
      <c r="F68" s="4" t="inlineStr">
        <is>
          <t>1000.00</t>
        </is>
      </c>
    </row>
    <row collapsed="false" customFormat="false" customHeight="false" hidden="false" ht="12.1" outlineLevel="0" r="69">
      <c r="A69" s="5" t="s">
        <f>=HYPERLINK("https://www.leilaoonline.com.br/lote/detalhe/329501", "36721")</f>
      </c>
      <c r="B69" s="4" t="s">
        <f>=HYPERLINK("https://www.leilaoonline.com.br/lote/detalhe/329501", "PEÇAS DE REPOSIÇÃO DE EQUIPAMENTOS AGRICOLAS - APROXIMADAMENTE 5 ENGATES RANDON - S/FR - LOC. CAARAPÓ")</f>
      </c>
      <c r="C69" s="4" t="inlineStr">
        <is>
          <t>Vendido</t>
        </is>
      </c>
      <c r="D69" s="4" t="inlineStr">
        <is>
          <t>9</t>
        </is>
      </c>
      <c r="E69" s="5" t="inlineStr">
        <is>
          <t>6.000,00</t>
        </is>
      </c>
      <c r="F69" s="4" t="inlineStr">
        <is>
          <t>500.00</t>
        </is>
      </c>
    </row>
    <row collapsed="false" customFormat="false" customHeight="false" hidden="false" ht="12.1" outlineLevel="0" r="70">
      <c r="A70" s="5" t="s">
        <f>=HYPERLINK("https://www.leilaoonline.com.br/lote/detalhe/329206", "36783")</f>
      </c>
      <c r="B70" s="4" t="s">
        <f>=HYPERLINK("https://www.leilaoonline.com.br/lote/detalhe/329206", " CAMINHÃO VW/31.320 CNC 6X4; ANO 2010/2010; BRANCA; (TRANSBORDO). - FR 88179. - LOC. GASA ")</f>
      </c>
      <c r="C70" s="4" t="inlineStr">
        <is>
          <t>Vendido</t>
        </is>
      </c>
      <c r="D70" s="4" t="inlineStr">
        <is>
          <t>96</t>
        </is>
      </c>
      <c r="E70" s="5" t="inlineStr">
        <is>
          <t>147.000,00</t>
        </is>
      </c>
      <c r="F70" s="4" t="inlineStr">
        <is>
          <t>1000.00</t>
        </is>
      </c>
    </row>
    <row collapsed="false" customFormat="false" customHeight="false" hidden="false" ht="12.1" outlineLevel="0" r="71">
      <c r="A71" s="5" t="s">
        <f>=HYPERLINK("https://www.leilaoonline.com.br/lote/detalhe/329497", "36789")</f>
      </c>
      <c r="B71" s="4" t="s">
        <f>=HYPERLINK("https://www.leilaoonline.com.br/lote/detalhe/329497", " CAMINHÃO MERCEDES BENZ 3344S 6X4; ANO 2014/2014; BRANCA; (CAVALO MECÂNICO) - FR131239. - LOC. GASA ")</f>
      </c>
      <c r="C71" s="4" t="inlineStr">
        <is>
          <t>Vendido</t>
        </is>
      </c>
      <c r="D71" s="4" t="inlineStr">
        <is>
          <t>21</t>
        </is>
      </c>
      <c r="E71" s="5" t="inlineStr">
        <is>
          <t>78.000,00</t>
        </is>
      </c>
      <c r="F71" s="4" t="inlineStr">
        <is>
          <t>1000.00</t>
        </is>
      </c>
    </row>
    <row collapsed="false" customFormat="false" customHeight="false" hidden="false" ht="12.1" outlineLevel="0" r="72">
      <c r="A72" s="5" t="s">
        <f>=HYPERLINK("https://www.leilaoonline.com.br/lote/detalhe/329209", "36790")</f>
      </c>
      <c r="B72" s="4" t="s">
        <f>=HYPERLINK("https://www.leilaoonline.com.br/lote/detalhe/329209", " TRATOR JOHN DEERE 7225J 4X4; ANO 2016. - FR115698. - LOC. GASA")</f>
      </c>
      <c r="C72" s="4" t="inlineStr">
        <is>
          <t>Vendido</t>
        </is>
      </c>
      <c r="D72" s="4" t="inlineStr">
        <is>
          <t>1</t>
        </is>
      </c>
      <c r="E72" s="5" t="inlineStr">
        <is>
          <t>100.000,00</t>
        </is>
      </c>
      <c r="F72" s="4" t="inlineStr">
        <is>
          <t>2500.00</t>
        </is>
      </c>
    </row>
    <row collapsed="false" customFormat="false" customHeight="false" hidden="false" ht="12.1" outlineLevel="0" r="73">
      <c r="A73" s="5" t="s">
        <f>=HYPERLINK("https://www.leilaoonline.com.br/lote/detalhe/329190", "36803")</f>
      </c>
      <c r="B73" s="4" t="s">
        <f>=HYPERLINK("https://www.leilaoonline.com.br/lote/detalhe/329190", "TRATOR CASE PUMA 200 4X4; ANO 2016. - FR512055. - LOC. LAGOA DA PRATA ")</f>
      </c>
      <c r="C73" s="4" t="inlineStr">
        <is>
          <t>Não vendido</t>
        </is>
      </c>
      <c r="D73" s="4" t="inlineStr">
        <is>
          <t>0</t>
        </is>
      </c>
      <c r="E73" s="5" t="inlineStr">
        <is>
          <t>70.000,00</t>
        </is>
      </c>
      <c r="F73" s="4" t="inlineStr">
        <is>
          <t>1000.00</t>
        </is>
      </c>
    </row>
    <row collapsed="false" customFormat="false" customHeight="false" hidden="false" ht="12.1" outlineLevel="0" r="74">
      <c r="A74" s="5" t="s">
        <f>=HYPERLINK("https://www.leilaoonline.com.br/lote/detalhe/329189", "36807")</f>
      </c>
      <c r="B74" s="4" t="s">
        <f>=HYPERLINK("https://www.leilaoonline.com.br/lote/detalhe/329189", "TRATOR CASE PUMA 200 4X4 - ANO 2016 - FR512054 - LOC. LAGOA DA PRATA")</f>
      </c>
      <c r="C74" s="4" t="inlineStr">
        <is>
          <t>Não vendido</t>
        </is>
      </c>
      <c r="D74" s="4" t="inlineStr">
        <is>
          <t>0</t>
        </is>
      </c>
      <c r="E74" s="5" t="inlineStr">
        <is>
          <t>70.000,00</t>
        </is>
      </c>
      <c r="F74" s="4" t="inlineStr">
        <is>
          <t>1000.00</t>
        </is>
      </c>
    </row>
    <row collapsed="false" customFormat="false" customHeight="false" hidden="false" ht="12.1" outlineLevel="0" r="75">
      <c r="A75" s="5" t="s">
        <f>=HYPERLINK("https://www.leilaoonline.com.br/lote/detalhe/329186", "36808")</f>
      </c>
      <c r="B75" s="4" t="s">
        <f>=HYPERLINK("https://www.leilaoonline.com.br/lote/detalhe/329186", "TRANSBORDO CIVEMASA TAC 13000 C/3 EIXOS; ANO 2008. - FR9004054. - LOC. LAGOA DA PRATA")</f>
      </c>
      <c r="C75" s="4" t="inlineStr">
        <is>
          <t>Vendido</t>
        </is>
      </c>
      <c r="D75" s="4" t="inlineStr">
        <is>
          <t>2</t>
        </is>
      </c>
      <c r="E75" s="5" t="inlineStr">
        <is>
          <t>16.000,00</t>
        </is>
      </c>
      <c r="F75" s="4" t="inlineStr">
        <is>
          <t>1000.00</t>
        </is>
      </c>
    </row>
    <row collapsed="false" customFormat="false" customHeight="false" hidden="false" ht="12.1" outlineLevel="0" r="76">
      <c r="A76" s="5" t="s">
        <f>=HYPERLINK("https://www.leilaoonline.com.br/lote/detalhe/329216", "36820")</f>
      </c>
      <c r="B76" s="4" t="s">
        <f>=HYPERLINK("https://www.leilaoonline.com.br/lote/detalhe/329216", "REBOQUE FREE HOBBY FH6; ANO 2013/2013; PRETA; (CARROCERIA FECHADA). - FR14004632. - LOC. SANTA ELISA")</f>
      </c>
      <c r="C76" s="4" t="inlineStr">
        <is>
          <t>Não vendido</t>
        </is>
      </c>
      <c r="D76" s="4" t="inlineStr">
        <is>
          <t>7</t>
        </is>
      </c>
      <c r="E76" s="5" t="inlineStr">
        <is>
          <t>6.500,00</t>
        </is>
      </c>
      <c r="F76" s="4" t="inlineStr">
        <is>
          <t>500.00</t>
        </is>
      </c>
    </row>
    <row collapsed="false" customFormat="false" customHeight="false" hidden="false" ht="12.1" outlineLevel="0" r="77">
      <c r="A77" s="5" t="s">
        <f>=HYPERLINK("https://www.leilaoonline.com.br/lote/detalhe/329880", "36822")</f>
      </c>
      <c r="B77" s="4" t="s">
        <f>=HYPERLINK("https://www.leilaoonline.com.br/lote/detalhe/329880", "CAMINHÃO VOLKSWAGEN 8.120 WORKER - ANO 2002/2002 - BRANCO - FR11001043 - LOC. SANTA ELISA")</f>
      </c>
      <c r="C77" s="4" t="inlineStr">
        <is>
          <t>Vendido</t>
        </is>
      </c>
      <c r="D77" s="4" t="inlineStr">
        <is>
          <t>64</t>
        </is>
      </c>
      <c r="E77" s="5" t="inlineStr">
        <is>
          <t>88.000,00</t>
        </is>
      </c>
      <c r="F77" s="4" t="inlineStr">
        <is>
          <t>1000.00</t>
        </is>
      </c>
    </row>
    <row collapsed="false" customFormat="false" customHeight="false" hidden="false" ht="12.1" outlineLevel="0" r="78">
      <c r="A78" s="5" t="s">
        <f>=HYPERLINK("https://www.leilaoonline.com.br/lote/detalhe/329569", "36830")</f>
      </c>
      <c r="B78" s="4" t="s">
        <f>=HYPERLINK("https://www.leilaoonline.com.br/lote/detalhe/329569", "TRANSBORDO S.IZABEL TRIDEM 13T; ANO 2013. - FR11003711. - LOC. VALE DO ROSÁRIO ")</f>
      </c>
      <c r="C78" s="4" t="inlineStr">
        <is>
          <t>Não vendido</t>
        </is>
      </c>
      <c r="D78" s="4" t="inlineStr">
        <is>
          <t>0</t>
        </is>
      </c>
      <c r="E78" s="5" t="inlineStr">
        <is>
          <t>12.000,00</t>
        </is>
      </c>
      <c r="F78" s="4" t="inlineStr">
        <is>
          <t>1000.00</t>
        </is>
      </c>
    </row>
    <row collapsed="false" customFormat="false" customHeight="false" hidden="false" ht="12.1" outlineLevel="0" r="79">
      <c r="A79" s="5" t="s">
        <f>=HYPERLINK("https://www.leilaoonline.com.br/lote/detalhe/329192", "36844")</f>
      </c>
      <c r="B79" s="4" t="s">
        <f>=HYPERLINK("https://www.leilaoonline.com.br/lote/detalhe/329192", "PULVERIZADOR DE INJEÇÃO NO SOLO; ANO 2018. - FR122923. - LOC. UNIVALEM ")</f>
      </c>
      <c r="C79" s="4" t="inlineStr">
        <is>
          <t>Não vendido</t>
        </is>
      </c>
      <c r="D79" s="4" t="inlineStr">
        <is>
          <t>0</t>
        </is>
      </c>
      <c r="E79" s="5" t="inlineStr">
        <is>
          <t>1.500,00</t>
        </is>
      </c>
      <c r="F79" s="4" t="inlineStr">
        <is>
          <t>250.00</t>
        </is>
      </c>
    </row>
    <row collapsed="false" customFormat="false" customHeight="false" hidden="false" ht="12.1" outlineLevel="0" r="80">
      <c r="A80" s="5" t="s">
        <f>=HYPERLINK("https://www.leilaoonline.com.br/lote/detalhe/329191", "36846")</f>
      </c>
      <c r="B80" s="4" t="s">
        <f>=HYPERLINK("https://www.leilaoonline.com.br/lote/detalhe/329191", "PULVERIZADOR DE INJEÇÃO NO SOLO; ANO 2018. - FR122922. - LOC. UNIVALEM ")</f>
      </c>
      <c r="C80" s="4" t="inlineStr">
        <is>
          <t>Não vendido</t>
        </is>
      </c>
      <c r="D80" s="4" t="inlineStr">
        <is>
          <t>1</t>
        </is>
      </c>
      <c r="E80" s="5" t="inlineStr">
        <is>
          <t>1.750,00</t>
        </is>
      </c>
      <c r="F80" s="4" t="inlineStr">
        <is>
          <t>250.00</t>
        </is>
      </c>
    </row>
    <row collapsed="false" customFormat="false" customHeight="false" hidden="false" ht="12.1" outlineLevel="0" r="81">
      <c r="A81" s="5" t="s">
        <f>=HYPERLINK("https://www.leilaoonline.com.br/lote/detalhe/329258", "36858")</f>
      </c>
      <c r="B81" s="4" t="s">
        <f>=HYPERLINK("https://www.leilaoonline.com.br/lote/detalhe/329258", "COLHEDORA JOHN DEERE 3522 2L - ANO 2014 - FR173213 - LOC. BENALCOOL")</f>
      </c>
      <c r="C81" s="4" t="inlineStr">
        <is>
          <t>Vendido</t>
        </is>
      </c>
      <c r="D81" s="4" t="inlineStr">
        <is>
          <t>3</t>
        </is>
      </c>
      <c r="E81" s="5" t="inlineStr">
        <is>
          <t>40.000,00</t>
        </is>
      </c>
      <c r="F81" s="4" t="inlineStr">
        <is>
          <t>2000.00</t>
        </is>
      </c>
    </row>
    <row collapsed="false" customFormat="false" customHeight="false" hidden="false" ht="12.1" outlineLevel="0" r="82">
      <c r="A82" s="5" t="s">
        <f>=HYPERLINK("https://www.leilaoonline.com.br/lote/detalhe/329259", "36859")</f>
      </c>
      <c r="B82" s="4" t="s">
        <f>=HYPERLINK("https://www.leilaoonline.com.br/lote/detalhe/329259", "COLHEDORA JOHN DEERE CH670 2L - ANO 2016 - FR81748 - LOC. BENALCOOL")</f>
      </c>
      <c r="C82" s="4" t="inlineStr">
        <is>
          <t>Vendido</t>
        </is>
      </c>
      <c r="D82" s="4" t="inlineStr">
        <is>
          <t>9</t>
        </is>
      </c>
      <c r="E82" s="5" t="inlineStr">
        <is>
          <t>46.000,00</t>
        </is>
      </c>
      <c r="F82" s="4" t="inlineStr">
        <is>
          <t>2000.00</t>
        </is>
      </c>
    </row>
    <row collapsed="false" customFormat="false" customHeight="false" hidden="false" ht="12.1" outlineLevel="0" r="83">
      <c r="A83" s="5" t="s">
        <f>=HYPERLINK("https://www.leilaoonline.com.br/lote/detalhe/329670", "36891")</f>
      </c>
      <c r="B83" s="4" t="s">
        <f>=HYPERLINK("https://www.leilaoonline.com.br/lote/detalhe/329670", "APROX. 09 MESAS C/ CADEIRAS EMBUTIDAS. - LOC. JATAI ")</f>
      </c>
      <c r="C83" s="4" t="inlineStr">
        <is>
          <t>Vendido</t>
        </is>
      </c>
      <c r="D83" s="4" t="inlineStr">
        <is>
          <t>12</t>
        </is>
      </c>
      <c r="E83" s="5" t="inlineStr">
        <is>
          <t>2.500,00</t>
        </is>
      </c>
      <c r="F83" s="4" t="inlineStr">
        <is>
          <t>100.00</t>
        </is>
      </c>
    </row>
    <row collapsed="false" customFormat="false" customHeight="false" hidden="false" ht="12.1" outlineLevel="0" r="84">
      <c r="A84" s="5" t="s">
        <f>=HYPERLINK("https://www.leilaoonline.com.br/lote/detalhe/329671", "36892")</f>
      </c>
      <c r="B84" s="4" t="s">
        <f>=HYPERLINK("https://www.leilaoonline.com.br/lote/detalhe/329671", "APROX. 89 CADEIRAS ESCOLARES. - LOC. JATAI ")</f>
      </c>
      <c r="C84" s="4" t="inlineStr">
        <is>
          <t>Não vendido</t>
        </is>
      </c>
      <c r="D84" s="4" t="inlineStr">
        <is>
          <t>11</t>
        </is>
      </c>
      <c r="E84" s="5" t="inlineStr">
        <is>
          <t>1.500,00</t>
        </is>
      </c>
      <c r="F84" s="4" t="inlineStr">
        <is>
          <t>100.00</t>
        </is>
      </c>
    </row>
    <row collapsed="false" customFormat="false" customHeight="false" hidden="false" ht="12.1" outlineLevel="0" r="85">
      <c r="A85" s="5" t="s">
        <f>=HYPERLINK("https://www.leilaoonline.com.br/lote/detalhe/329672", "36893")</f>
      </c>
      <c r="B85" s="4" t="s">
        <f>=HYPERLINK("https://www.leilaoonline.com.br/lote/detalhe/329672", "10 MESAS E 38 BANCOS DE MADEIRA. - LOC. JATAI ")</f>
      </c>
      <c r="C85" s="4" t="inlineStr">
        <is>
          <t>Vendido</t>
        </is>
      </c>
      <c r="D85" s="4" t="inlineStr">
        <is>
          <t>2</t>
        </is>
      </c>
      <c r="E85" s="5" t="inlineStr">
        <is>
          <t>1.500,00</t>
        </is>
      </c>
      <c r="F85" s="4" t="inlineStr">
        <is>
          <t>250.00</t>
        </is>
      </c>
    </row>
    <row collapsed="false" customFormat="false" customHeight="false" hidden="false" ht="12.1" outlineLevel="0" r="86">
      <c r="A86" s="5" t="s">
        <f>=HYPERLINK("https://www.leilaoonline.com.br/lote/detalhe/329673", "36894")</f>
      </c>
      <c r="B86" s="4" t="s">
        <f>=HYPERLINK("https://www.leilaoonline.com.br/lote/detalhe/329673", "CONJUNTO DE 04 MESAS E 2 ARMÁRIOS DE ESCRITÓRIO. - LOC. JATAI ")</f>
      </c>
      <c r="C86" s="4" t="inlineStr">
        <is>
          <t>Vendido</t>
        </is>
      </c>
      <c r="D86" s="4" t="inlineStr">
        <is>
          <t>1</t>
        </is>
      </c>
      <c r="E86" s="5" t="inlineStr">
        <is>
          <t>500,00</t>
        </is>
      </c>
      <c r="F86" s="4" t="inlineStr">
        <is>
          <t>100.00</t>
        </is>
      </c>
    </row>
    <row collapsed="false" customFormat="false" customHeight="false" hidden="false" ht="12.1" outlineLevel="0" r="87">
      <c r="A87" s="5" t="s">
        <f>=HYPERLINK("https://www.leilaoonline.com.br/lote/detalhe/329674", "36896")</f>
      </c>
      <c r="B87" s="4" t="s">
        <f>=HYPERLINK("https://www.leilaoonline.com.br/lote/detalhe/329674", "APROX. 04 PRATELEIRAS; 06 ARMÁRIOS. - (LIVROS E MATERIAIS NÃO INCLUSOS). - PAT.147977/143561/143590/143592/143381/143560. - LOC. JATAI")</f>
      </c>
      <c r="C87" s="4" t="inlineStr">
        <is>
          <t>Vendido</t>
        </is>
      </c>
      <c r="D87" s="4" t="inlineStr">
        <is>
          <t>1</t>
        </is>
      </c>
      <c r="E87" s="5" t="inlineStr">
        <is>
          <t>1.000,00</t>
        </is>
      </c>
      <c r="F87" s="4" t="inlineStr">
        <is>
          <t>250.00</t>
        </is>
      </c>
    </row>
    <row collapsed="false" customFormat="false" customHeight="false" hidden="false" ht="12.1" outlineLevel="0" r="88">
      <c r="A88" s="5" t="s">
        <f>=HYPERLINK("https://www.leilaoonline.com.br/lote/detalhe/329675", "36897")</f>
      </c>
      <c r="B88" s="4" t="s">
        <f>=HYPERLINK("https://www.leilaoonline.com.br/lote/detalhe/329675", "APROX. 16 BANCADAS TAMPAS DE MADEIRA . - LOC. JATAI  ")</f>
      </c>
      <c r="C88" s="4" t="inlineStr">
        <is>
          <t>Não vendido</t>
        </is>
      </c>
      <c r="D88" s="4" t="inlineStr">
        <is>
          <t>3</t>
        </is>
      </c>
      <c r="E88" s="5" t="inlineStr">
        <is>
          <t>700,00</t>
        </is>
      </c>
      <c r="F88" s="4" t="inlineStr">
        <is>
          <t>100.00</t>
        </is>
      </c>
    </row>
    <row collapsed="false" customFormat="false" customHeight="false" hidden="false" ht="12.1" outlineLevel="0" r="89">
      <c r="A89" s="5" t="s">
        <f>=HYPERLINK("https://www.leilaoonline.com.br/lote/detalhe/329676", "36898")</f>
      </c>
      <c r="B89" s="4" t="s">
        <f>=HYPERLINK("https://www.leilaoonline.com.br/lote/detalhe/329676", "APROX. 12 AR CONDICIONADO. - LOC. JATAI ")</f>
      </c>
      <c r="C89" s="4" t="inlineStr">
        <is>
          <t>Vendido</t>
        </is>
      </c>
      <c r="D89" s="4" t="inlineStr">
        <is>
          <t>12</t>
        </is>
      </c>
      <c r="E89" s="5" t="inlineStr">
        <is>
          <t>9.000,00</t>
        </is>
      </c>
      <c r="F89" s="4" t="inlineStr">
        <is>
          <t>500.00</t>
        </is>
      </c>
    </row>
    <row collapsed="false" customFormat="false" customHeight="false" hidden="false" ht="12.1" outlineLevel="0" r="90">
      <c r="A90" s="5" t="s">
        <f>=HYPERLINK("https://www.leilaoonline.com.br/lote/detalhe/329677", "36899")</f>
      </c>
      <c r="B90" s="4" t="s">
        <f>=HYPERLINK("https://www.leilaoonline.com.br/lote/detalhe/329677", "MESA C/ 6 CADEIRAS, FOGÃO, DEPURADOR, BATEDEIRA, LIQUIDIFICADOR, BEBEDOURO, PANELAS, FORNO INDUSTRIAL, 02 BOTIJÕES E UTENSÍLIOS DIVERSOS. - LOC. JATAI ")</f>
      </c>
      <c r="C90" s="4" t="inlineStr">
        <is>
          <t>Não vendido</t>
        </is>
      </c>
      <c r="D90" s="4" t="inlineStr">
        <is>
          <t>7</t>
        </is>
      </c>
      <c r="E90" s="5" t="inlineStr">
        <is>
          <t>1.100,00</t>
        </is>
      </c>
      <c r="F90" s="4" t="inlineStr">
        <is>
          <t>100.00</t>
        </is>
      </c>
    </row>
    <row collapsed="false" customFormat="false" customHeight="false" hidden="false" ht="12.1" outlineLevel="0" r="91">
      <c r="A91" s="5" t="s">
        <f>=HYPERLINK("https://www.leilaoonline.com.br/lote/detalhe/329573", "37113")</f>
      </c>
      <c r="B91" s="4" t="s">
        <f>=HYPERLINK("https://www.leilaoonline.com.br/lote/detalhe/329573", "TRANSBORDO CIVEMASA TAC 10500 C/2 EIXOS; ANO 2009. - FR1003005. - LOC. LAGOA DA PRATA ")</f>
      </c>
      <c r="C91" s="4" t="inlineStr">
        <is>
          <t>Não vendido</t>
        </is>
      </c>
      <c r="D91" s="4" t="inlineStr">
        <is>
          <t>1</t>
        </is>
      </c>
      <c r="E91" s="5" t="inlineStr">
        <is>
          <t>12.000,00</t>
        </is>
      </c>
      <c r="F91" s="4" t="inlineStr">
        <is>
          <t>1000.00</t>
        </is>
      </c>
    </row>
    <row collapsed="false" customFormat="false" customHeight="false" hidden="false" ht="12.1" outlineLevel="0" r="92">
      <c r="A92" s="5" t="s">
        <f>=HYPERLINK("https://www.leilaoonline.com.br/lote/detalhe/329571", "37114")</f>
      </c>
      <c r="B92" s="4" t="s">
        <f>=HYPERLINK("https://www.leilaoonline.com.br/lote/detalhe/329571", "PLANTADORA DMB; ANO 2013. - FR8003195. - LOC. LAGOA DA PRATA ")</f>
      </c>
      <c r="C92" s="4" t="inlineStr">
        <is>
          <t>Não vendido</t>
        </is>
      </c>
      <c r="D92" s="4" t="inlineStr">
        <is>
          <t>3</t>
        </is>
      </c>
      <c r="E92" s="5" t="inlineStr">
        <is>
          <t>12.000,00</t>
        </is>
      </c>
      <c r="F92" s="4" t="inlineStr">
        <is>
          <t>1000.00</t>
        </is>
      </c>
    </row>
    <row collapsed="false" customFormat="false" customHeight="false" hidden="false" ht="12.1" outlineLevel="0" r="93">
      <c r="A93" s="5" t="s">
        <f>=HYPERLINK("https://www.leilaoonline.com.br/lote/detalhe/329572", "37115")</f>
      </c>
      <c r="B93" s="4" t="s">
        <f>=HYPERLINK("https://www.leilaoonline.com.br/lote/detalhe/329572", "PLANTADORA DMB; ANO 2013. - FR8003196. - LOC. LAGOA DA PRATA ")</f>
      </c>
      <c r="C93" s="4" t="inlineStr">
        <is>
          <t>Não vendido</t>
        </is>
      </c>
      <c r="D93" s="4" t="inlineStr">
        <is>
          <t>2</t>
        </is>
      </c>
      <c r="E93" s="5" t="inlineStr">
        <is>
          <t>11.000,00</t>
        </is>
      </c>
      <c r="F93" s="4" t="inlineStr">
        <is>
          <t>1000.00</t>
        </is>
      </c>
    </row>
    <row collapsed="false" customFormat="false" customHeight="false" hidden="false" ht="12.1" outlineLevel="0" r="94">
      <c r="A94" s="5" t="s">
        <f>=HYPERLINK("https://www.leilaoonline.com.br/lote/detalhe/329570", "37116")</f>
      </c>
      <c r="B94" s="4" t="s">
        <f>=HYPERLINK("https://www.leilaoonline.com.br/lote/detalhe/329570", "PLANTADORA DMB. - ANO 2013 - FR8003194. - LOC. LAGOA DA PRATA ")</f>
      </c>
      <c r="C94" s="4" t="inlineStr">
        <is>
          <t>Não vendido</t>
        </is>
      </c>
      <c r="D94" s="4" t="inlineStr">
        <is>
          <t>2</t>
        </is>
      </c>
      <c r="E94" s="5" t="inlineStr">
        <is>
          <t>11.000,00</t>
        </is>
      </c>
      <c r="F94" s="4" t="inlineStr">
        <is>
          <t>1000.00</t>
        </is>
      </c>
    </row>
    <row collapsed="false" customFormat="false" customHeight="false" hidden="false" ht="12.1" outlineLevel="0" r="95">
      <c r="A95" s="5" t="s">
        <f>=HYPERLINK("https://www.leilaoonline.com.br/lote/detalhe/329198", "37131")</f>
      </c>
      <c r="B95" s="4" t="s">
        <f>=HYPERLINK("https://www.leilaoonline.com.br/lote/detalhe/329198", " TRANSBORDO ATA 12000 12T; ANO 2012. - FR123770. - LOC. ARARAQUARA")</f>
      </c>
      <c r="C95" s="4" t="inlineStr">
        <is>
          <t>Não vendido</t>
        </is>
      </c>
      <c r="D95" s="4" t="inlineStr">
        <is>
          <t>0</t>
        </is>
      </c>
      <c r="E95" s="5" t="inlineStr">
        <is>
          <t>15.000,00</t>
        </is>
      </c>
      <c r="F95" s="4" t="inlineStr">
        <is>
          <t>1000.00</t>
        </is>
      </c>
    </row>
    <row collapsed="false" customFormat="false" customHeight="false" hidden="false" ht="12.1" outlineLevel="0" r="96">
      <c r="A96" s="5" t="s">
        <f>=HYPERLINK("https://www.leilaoonline.com.br/lote/detalhe/329204", "37134")</f>
      </c>
      <c r="B96" s="4" t="s">
        <f>=HYPERLINK("https://www.leilaoonline.com.br/lote/detalhe/329204", " TRANSBORDO ATA 12000 12T; ANO 2010. - FR135634. - LOC. ARARAQUARA")</f>
      </c>
      <c r="C96" s="4" t="inlineStr">
        <is>
          <t>Não vendido</t>
        </is>
      </c>
      <c r="D96" s="4" t="inlineStr">
        <is>
          <t>1</t>
        </is>
      </c>
      <c r="E96" s="5" t="inlineStr">
        <is>
          <t>15.000,00</t>
        </is>
      </c>
      <c r="F96" s="4" t="inlineStr">
        <is>
          <t>1000.00</t>
        </is>
      </c>
    </row>
    <row collapsed="false" customFormat="false" customHeight="false" hidden="false" ht="12.1" outlineLevel="0" r="97">
      <c r="A97" s="5" t="s">
        <f>=HYPERLINK("https://www.leilaoonline.com.br/lote/detalhe/329196", "37135")</f>
      </c>
      <c r="B97" s="4" t="s">
        <f>=HYPERLINK("https://www.leilaoonline.com.br/lote/detalhe/329196", " TRANSBORDO ATA 12000 12T; ANO 2012. - FR361424. - LOC. ARARAQUARA")</f>
      </c>
      <c r="C97" s="4" t="inlineStr">
        <is>
          <t>Não vendido</t>
        </is>
      </c>
      <c r="D97" s="4" t="inlineStr">
        <is>
          <t>4</t>
        </is>
      </c>
      <c r="E97" s="5" t="inlineStr">
        <is>
          <t>18.000,00</t>
        </is>
      </c>
      <c r="F97" s="4" t="inlineStr">
        <is>
          <t>1000.00</t>
        </is>
      </c>
    </row>
    <row collapsed="false" customFormat="false" customHeight="false" hidden="false" ht="12.1" outlineLevel="0" r="98">
      <c r="A98" s="5" t="s">
        <f>=HYPERLINK("https://www.leilaoonline.com.br/lote/detalhe/329197", "37138")</f>
      </c>
      <c r="B98" s="4" t="s">
        <f>=HYPERLINK("https://www.leilaoonline.com.br/lote/detalhe/329197", " TRANSBORDO ATA 12000 12T; ANO 2012. - FR123769. - LOC. ARARAQUARA")</f>
      </c>
      <c r="C98" s="4" t="inlineStr">
        <is>
          <t>Não vendido</t>
        </is>
      </c>
      <c r="D98" s="4" t="inlineStr">
        <is>
          <t>0</t>
        </is>
      </c>
      <c r="E98" s="5" t="inlineStr">
        <is>
          <t>15.000,00</t>
        </is>
      </c>
      <c r="F98" s="4" t="inlineStr">
        <is>
          <t>1000.00</t>
        </is>
      </c>
    </row>
    <row collapsed="false" customFormat="false" customHeight="false" hidden="false" ht="12.1" outlineLevel="0" r="99">
      <c r="A99" s="5" t="s">
        <f>=HYPERLINK("https://www.leilaoonline.com.br/lote/detalhe/329203", "37141")</f>
      </c>
      <c r="B99" s="4" t="s">
        <f>=HYPERLINK("https://www.leilaoonline.com.br/lote/detalhe/329203", " TRANSBORDO ATA 12000 12T; ANO 2012. - FR70618. - LOC. ARARAQUARA")</f>
      </c>
      <c r="C99" s="4" t="inlineStr">
        <is>
          <t>Não vendido</t>
        </is>
      </c>
      <c r="D99" s="4" t="inlineStr">
        <is>
          <t>0</t>
        </is>
      </c>
      <c r="E99" s="5" t="inlineStr">
        <is>
          <t>15.000,00</t>
        </is>
      </c>
      <c r="F99" s="4" t="inlineStr">
        <is>
          <t>1000.00</t>
        </is>
      </c>
    </row>
    <row collapsed="false" customFormat="false" customHeight="false" hidden="false" ht="12.1" outlineLevel="0" r="100">
      <c r="A100" s="5" t="s">
        <f>=HYPERLINK("https://www.leilaoonline.com.br/lote/detalhe/329199", "37142")</f>
      </c>
      <c r="B100" s="4" t="s">
        <f>=HYPERLINK("https://www.leilaoonline.com.br/lote/detalhe/329199", " TRANSBORDO ATA 12000 12T; ANO 2012. - FR361609. - LOC. ARARAQUARA")</f>
      </c>
      <c r="C100" s="4" t="inlineStr">
        <is>
          <t>Não vendido</t>
        </is>
      </c>
      <c r="D100" s="4" t="inlineStr">
        <is>
          <t>0</t>
        </is>
      </c>
      <c r="E100" s="5" t="inlineStr">
        <is>
          <t>15.000,00</t>
        </is>
      </c>
      <c r="F100" s="4" t="inlineStr">
        <is>
          <t>1000.00</t>
        </is>
      </c>
    </row>
    <row collapsed="false" customFormat="false" customHeight="false" hidden="false" ht="12.1" outlineLevel="0" r="101">
      <c r="A101" s="5" t="s">
        <f>=HYPERLINK("https://www.leilaoonline.com.br/lote/detalhe/329202", "37147")</f>
      </c>
      <c r="B101" s="4" t="s">
        <f>=HYPERLINK("https://www.leilaoonline.com.br/lote/detalhe/329202", " TRANSBORDO ATA 12000 12T; ANO 2012. - FR361429. - LOC. ARARAQUARA")</f>
      </c>
      <c r="C101" s="4" t="inlineStr">
        <is>
          <t>Não vendido</t>
        </is>
      </c>
      <c r="D101" s="4" t="inlineStr">
        <is>
          <t>0</t>
        </is>
      </c>
      <c r="E101" s="5" t="inlineStr">
        <is>
          <t>15.000,00</t>
        </is>
      </c>
      <c r="F101" s="4" t="inlineStr">
        <is>
          <t>1000.00</t>
        </is>
      </c>
    </row>
    <row collapsed="false" customFormat="false" customHeight="false" hidden="false" ht="12.1" outlineLevel="0" r="102">
      <c r="A102" s="5" t="s">
        <f>=HYPERLINK("https://www.leilaoonline.com.br/lote/detalhe/329201", "37148")</f>
      </c>
      <c r="B102" s="4" t="s">
        <f>=HYPERLINK("https://www.leilaoonline.com.br/lote/detalhe/329201", " TRANSBORDO ATA 12000 12T; ANO 2012. - FR123771. - LOC. ARARAQUARA")</f>
      </c>
      <c r="C102" s="4" t="inlineStr">
        <is>
          <t>Vendido</t>
        </is>
      </c>
      <c r="D102" s="4" t="inlineStr">
        <is>
          <t>7</t>
        </is>
      </c>
      <c r="E102" s="5" t="inlineStr">
        <is>
          <t>21.000,00</t>
        </is>
      </c>
      <c r="F102" s="4" t="inlineStr">
        <is>
          <t>1000.00</t>
        </is>
      </c>
    </row>
    <row collapsed="false" customFormat="false" customHeight="false" hidden="false" ht="12.1" outlineLevel="0" r="103">
      <c r="A103" s="5" t="s">
        <f>=HYPERLINK("https://www.leilaoonline.com.br/lote/detalhe/329200", "37150")</f>
      </c>
      <c r="B103" s="4" t="s">
        <f>=HYPERLINK("https://www.leilaoonline.com.br/lote/detalhe/329200", " TRANSBORDO ATA 12000 12T; ANO 2012. - FR123766. - LOC. ARARAQUARA")</f>
      </c>
      <c r="C103" s="4" t="inlineStr">
        <is>
          <t>Não vendido</t>
        </is>
      </c>
      <c r="D103" s="4" t="inlineStr">
        <is>
          <t>1</t>
        </is>
      </c>
      <c r="E103" s="5" t="inlineStr">
        <is>
          <t>15.000,00</t>
        </is>
      </c>
      <c r="F103" s="4" t="inlineStr">
        <is>
          <t>1000.00</t>
        </is>
      </c>
    </row>
    <row collapsed="false" customFormat="false" customHeight="false" hidden="false" ht="12.1" outlineLevel="0" r="104">
      <c r="A104" s="5" t="s">
        <f>=HYPERLINK("https://www.leilaoonline.com.br/lote/detalhe/329210", "37159")</f>
      </c>
      <c r="B104" s="4" t="s">
        <f>=HYPERLINK("https://www.leilaoonline.com.br/lote/detalhe/329210", " COLHEDORA JOHN DEERE CH670 2L; ANO 2016 . - FR50151. - LOC. BONFIM ")</f>
      </c>
      <c r="C104" s="4" t="inlineStr">
        <is>
          <t>Não vendido</t>
        </is>
      </c>
      <c r="D104" s="4" t="inlineStr">
        <is>
          <t>0</t>
        </is>
      </c>
      <c r="E104" s="5" t="inlineStr">
        <is>
          <t>100.000,00</t>
        </is>
      </c>
      <c r="F104" s="4" t="inlineStr">
        <is>
          <t>2500.00</t>
        </is>
      </c>
    </row>
    <row collapsed="false" customFormat="false" customHeight="false" hidden="false" ht="12.1" outlineLevel="0" r="105">
      <c r="A105" s="5" t="s">
        <f>=HYPERLINK("https://www.leilaoonline.com.br/lote/detalhe/329212", "37163")</f>
      </c>
      <c r="B105" s="4" t="s">
        <f>=HYPERLINK("https://www.leilaoonline.com.br/lote/detalhe/329212", " COLHEDORA JOHN DEERE. - ANO 2017 - FR93429. - LOC. BONFIM ")</f>
      </c>
      <c r="C105" s="4" t="inlineStr">
        <is>
          <t>Não vendido</t>
        </is>
      </c>
      <c r="D105" s="4" t="inlineStr">
        <is>
          <t>0</t>
        </is>
      </c>
      <c r="E105" s="5" t="inlineStr">
        <is>
          <t>100.000,00</t>
        </is>
      </c>
      <c r="F105" s="4" t="inlineStr">
        <is>
          <t>2500.00</t>
        </is>
      </c>
    </row>
    <row collapsed="false" customFormat="false" customHeight="false" hidden="false" ht="12.1" outlineLevel="0" r="106">
      <c r="A106" s="5" t="s">
        <f>=HYPERLINK("https://www.leilaoonline.com.br/lote/detalhe/329211", "37165")</f>
      </c>
      <c r="B106" s="4" t="s">
        <f>=HYPERLINK("https://www.leilaoonline.com.br/lote/detalhe/329211", " ESTEIRA DE APROX. 3 METROS DE COMPRIMENTO, 1 METRO DE LARGURA E TORRE. - PAT. 249883 -  LOC. SANTA CANDIDA ")</f>
      </c>
      <c r="C106" s="4" t="inlineStr">
        <is>
          <t>Vendido</t>
        </is>
      </c>
      <c r="D106" s="4" t="inlineStr">
        <is>
          <t>1</t>
        </is>
      </c>
      <c r="E106" s="5" t="inlineStr">
        <is>
          <t>4.000,00</t>
        </is>
      </c>
      <c r="F106" s="4" t="inlineStr">
        <is>
          <t>500.00</t>
        </is>
      </c>
    </row>
    <row collapsed="false" customFormat="false" customHeight="false" hidden="false" ht="12.1" outlineLevel="0" r="107">
      <c r="A107" s="5" t="s">
        <f>=HYPERLINK("https://www.leilaoonline.com.br/lote/detalhe/329498", "37169")</f>
      </c>
      <c r="B107" s="4" t="s">
        <f>=HYPERLINK("https://www.leilaoonline.com.br/lote/detalhe/329498", " CAMINHÃO VW/26.220 EURO3 WORKER MUNCK; ANO 2008/2009; BRANCA. - FR96471. - LOC. BARRA ")</f>
      </c>
      <c r="C107" s="4" t="inlineStr">
        <is>
          <t>Não vendido</t>
        </is>
      </c>
      <c r="D107" s="4" t="inlineStr">
        <is>
          <t>72</t>
        </is>
      </c>
      <c r="E107" s="5" t="inlineStr">
        <is>
          <t>137.000,00</t>
        </is>
      </c>
      <c r="F107" s="4" t="inlineStr">
        <is>
          <t>1000.00</t>
        </is>
      </c>
    </row>
    <row collapsed="false" customFormat="false" customHeight="false" hidden="false" ht="12.1" outlineLevel="0" r="108">
      <c r="A108" s="5" t="s">
        <f>=HYPERLINK("https://www.leilaoonline.com.br/lote/detalhe/329499", "37179")</f>
      </c>
      <c r="B108" s="4" t="s">
        <f>=HYPERLINK("https://www.leilaoonline.com.br/lote/detalhe/329499", " 01 MOTOR JOHN DEERE, NUMERO 6 E 01 MOTOR CASE NUMERO 9. - LOC. BARRA ")</f>
      </c>
      <c r="C108" s="4" t="inlineStr">
        <is>
          <t>Não vendido</t>
        </is>
      </c>
      <c r="D108" s="4" t="inlineStr">
        <is>
          <t>3</t>
        </is>
      </c>
      <c r="E108" s="5" t="inlineStr">
        <is>
          <t>7.500,00</t>
        </is>
      </c>
      <c r="F108" s="4" t="inlineStr">
        <is>
          <t>500.00</t>
        </is>
      </c>
    </row>
    <row collapsed="false" customFormat="false" customHeight="false" hidden="false" ht="12.1" outlineLevel="0" r="109">
      <c r="A109" s="5" t="s">
        <f>=HYPERLINK("https://www.leilaoonline.com.br/lote/detalhe/329716", "37194")</f>
      </c>
      <c r="B109" s="4" t="s">
        <f>=HYPERLINK("https://www.leilaoonline.com.br/lote/detalhe/329716", "CABO DE ALUMÍNIO PARA RODO/ VASSOURA, (SEM USO), CONTENDO APROXIMADAMENTE 1.000 UNIDADES - (ALMOXARIFADO INDUSTRIAL) - LOC. BARRA")</f>
      </c>
      <c r="C109" s="4" t="inlineStr">
        <is>
          <t>Vendido</t>
        </is>
      </c>
      <c r="D109" s="4" t="inlineStr">
        <is>
          <t>4</t>
        </is>
      </c>
      <c r="E109" s="5" t="inlineStr">
        <is>
          <t>2.000,00</t>
        </is>
      </c>
      <c r="F109" s="4" t="inlineStr">
        <is>
          <t>250.00</t>
        </is>
      </c>
    </row>
    <row collapsed="false" customFormat="false" customHeight="false" hidden="false" ht="12.1" outlineLevel="0" r="110">
      <c r="A110" s="5" t="s">
        <f>=HYPERLINK("https://www.leilaoonline.com.br/lote/detalhe/329717", "37195")</f>
      </c>
      <c r="B110" s="4" t="s">
        <f>=HYPERLINK("https://www.leilaoonline.com.br/lote/detalhe/329717", "CABO DE ALUMÍNIO PARA RODO/ VASSOURA, (SEM USO), CONTENDO APROXIMADAMENTE 1.000 UNIDADES - (ALMOXARIFADO INDUSTRIAL) - LOC. BARRA")</f>
      </c>
      <c r="C110" s="4" t="inlineStr">
        <is>
          <t>Vendido</t>
        </is>
      </c>
      <c r="D110" s="4" t="inlineStr">
        <is>
          <t>3</t>
        </is>
      </c>
      <c r="E110" s="5" t="inlineStr">
        <is>
          <t>2.000,00</t>
        </is>
      </c>
      <c r="F110" s="4" t="inlineStr">
        <is>
          <t>250.00</t>
        </is>
      </c>
    </row>
    <row collapsed="false" customFormat="false" customHeight="false" hidden="false" ht="12.1" outlineLevel="0" r="111">
      <c r="A111" s="5" t="s">
        <f>=HYPERLINK("https://www.leilaoonline.com.br/lote/detalhe/329719", "37197")</f>
      </c>
      <c r="B111" s="4" t="s">
        <f>=HYPERLINK("https://www.leilaoonline.com.br/lote/detalhe/329719", "2 APARELHOS DE DATA SHOW E 1 ESTRELA - LOC. BARRA   ")</f>
      </c>
      <c r="C111" s="4" t="inlineStr">
        <is>
          <t>Vendido</t>
        </is>
      </c>
      <c r="D111" s="4" t="inlineStr">
        <is>
          <t>3</t>
        </is>
      </c>
      <c r="E111" s="5" t="inlineStr">
        <is>
          <t>380,00</t>
        </is>
      </c>
      <c r="F111" s="4" t="inlineStr">
        <is>
          <t>50.00</t>
        </is>
      </c>
    </row>
    <row collapsed="false" customFormat="false" customHeight="false" hidden="false" ht="12.1" outlineLevel="0" r="112">
      <c r="A112" s="5" t="s">
        <f>=HYPERLINK("https://www.leilaoonline.com.br/lote/detalhe/329718", "37198")</f>
      </c>
      <c r="B112" s="4" t="s">
        <f>=HYPERLINK("https://www.leilaoonline.com.br/lote/detalhe/329718", " 2 APARELHOS DE DATA SHOW - LOC. BARRA ")</f>
      </c>
      <c r="C112" s="4" t="inlineStr">
        <is>
          <t>Não vendido</t>
        </is>
      </c>
      <c r="D112" s="4" t="inlineStr">
        <is>
          <t>2</t>
        </is>
      </c>
      <c r="E112" s="5" t="inlineStr">
        <is>
          <t>150,00</t>
        </is>
      </c>
      <c r="F112" s="4" t="inlineStr">
        <is>
          <t>50.00</t>
        </is>
      </c>
    </row>
    <row collapsed="false" customFormat="false" customHeight="false" hidden="false" ht="12.1" outlineLevel="0" r="113">
      <c r="A113" s="5" t="s">
        <f>=HYPERLINK("https://www.leilaoonline.com.br/lote/detalhe/329706", "37200")</f>
      </c>
      <c r="B113" s="4" t="s">
        <f>=HYPERLINK("https://www.leilaoonline.com.br/lote/detalhe/329706", "APROX. 03 NOTEBOOK DELL LATITUDE 3420 -  LOC. UNIVALEM/ VALPARAISO ")</f>
      </c>
      <c r="C113" s="4" t="inlineStr">
        <is>
          <t>Vendido</t>
        </is>
      </c>
      <c r="D113" s="4" t="inlineStr">
        <is>
          <t>54</t>
        </is>
      </c>
      <c r="E113" s="5" t="inlineStr">
        <is>
          <t>6.000,00</t>
        </is>
      </c>
      <c r="F113" s="4" t="inlineStr">
        <is>
          <t>100.00</t>
        </is>
      </c>
    </row>
    <row collapsed="false" customFormat="false" customHeight="false" hidden="false" ht="12.1" outlineLevel="0" r="114">
      <c r="A114" s="5" t="s">
        <f>=HYPERLINK("https://www.leilaoonline.com.br/lote/detalhe/329207", "37201")</f>
      </c>
      <c r="B114" s="4" t="s">
        <f>=HYPERLINK("https://www.leilaoonline.com.br/lote/detalhe/329207", " TRANSBORDO ATA 12000 12T; ANO 2012. - FR123767. - BENALCOOL")</f>
      </c>
      <c r="C114" s="4" t="inlineStr">
        <is>
          <t>Não vendido</t>
        </is>
      </c>
      <c r="D114" s="4" t="inlineStr">
        <is>
          <t>0</t>
        </is>
      </c>
      <c r="E114" s="5" t="inlineStr">
        <is>
          <t>15.000,00</t>
        </is>
      </c>
      <c r="F114" s="4" t="inlineStr">
        <is>
          <t>1000.00</t>
        </is>
      </c>
    </row>
    <row collapsed="false" customFormat="false" customHeight="false" hidden="false" ht="12.1" outlineLevel="0" r="115">
      <c r="A115" s="5" t="s">
        <f>=HYPERLINK("https://www.leilaoonline.com.br/lote/detalhe/329205", "37203")</f>
      </c>
      <c r="B115" s="4" t="s">
        <f>=HYPERLINK("https://www.leilaoonline.com.br/lote/detalhe/329205", " TRANSBORDO SANTAL 12T; ANO 2014. - FR173159. - LOC. BENALCOOL")</f>
      </c>
      <c r="C115" s="4" t="inlineStr">
        <is>
          <t>Não vendido</t>
        </is>
      </c>
      <c r="D115" s="4" t="inlineStr">
        <is>
          <t>0</t>
        </is>
      </c>
      <c r="E115" s="5" t="inlineStr">
        <is>
          <t>15.000,00</t>
        </is>
      </c>
      <c r="F115" s="4" t="inlineStr">
        <is>
          <t>1000.00</t>
        </is>
      </c>
    </row>
    <row collapsed="false" customFormat="false" customHeight="false" hidden="false" ht="12.1" outlineLevel="0" r="116">
      <c r="A116" s="5" t="s">
        <f>=HYPERLINK("https://www.leilaoonline.com.br/lote/detalhe/329208", "37204")</f>
      </c>
      <c r="B116" s="4" t="s">
        <f>=HYPERLINK("https://www.leilaoonline.com.br/lote/detalhe/329208", " TRANSBORDO ATA 12000 12T; ANO 2010. - FR47034. - LOC. BENALCOOL")</f>
      </c>
      <c r="C116" s="4" t="inlineStr">
        <is>
          <t>Não vendido</t>
        </is>
      </c>
      <c r="D116" s="4" t="inlineStr">
        <is>
          <t>0</t>
        </is>
      </c>
      <c r="E116" s="5" t="inlineStr">
        <is>
          <t>15.000,00</t>
        </is>
      </c>
      <c r="F116" s="4" t="inlineStr">
        <is>
          <t>1000.00</t>
        </is>
      </c>
    </row>
    <row collapsed="false" customFormat="false" customHeight="false" hidden="false" ht="12.1" outlineLevel="0" r="117">
      <c r="A117" s="5" t="s">
        <f>=HYPERLINK("https://www.leilaoonline.com.br/lote/detalhe/329710", "37207")</f>
      </c>
      <c r="B117" s="4" t="s">
        <f>=HYPERLINK("https://www.leilaoonline.com.br/lote/detalhe/329710", "01 AR-CONDICIONADO SPRINGER 36.000BTU, 02 AR-CONDICIONADO SPRINGER 30.000 BTU, 03 CORTINAS DE AR SPRINGER. - LOC. UNIVALEM/ VALPARAISO ")</f>
      </c>
      <c r="C117" s="4" t="inlineStr">
        <is>
          <t>Vendido</t>
        </is>
      </c>
      <c r="D117" s="4" t="inlineStr">
        <is>
          <t>22</t>
        </is>
      </c>
      <c r="E117" s="5" t="inlineStr">
        <is>
          <t>5.200,00</t>
        </is>
      </c>
      <c r="F117" s="4" t="inlineStr">
        <is>
          <t>200.00</t>
        </is>
      </c>
    </row>
    <row collapsed="false" customFormat="false" customHeight="false" hidden="false" ht="12.1" outlineLevel="0" r="118">
      <c r="A118" s="5" t="s">
        <f>=HYPERLINK("https://www.leilaoonline.com.br/lote/detalhe/329709", "37208")</f>
      </c>
      <c r="B118" s="4" t="s">
        <f>=HYPERLINK("https://www.leilaoonline.com.br/lote/detalhe/329709", "APROX. 102 CADEIRAS. -  LOC. UNIVALEM/ VALPARAISO ")</f>
      </c>
      <c r="C118" s="4" t="inlineStr">
        <is>
          <t>Vendido</t>
        </is>
      </c>
      <c r="D118" s="4" t="inlineStr">
        <is>
          <t>47</t>
        </is>
      </c>
      <c r="E118" s="5" t="inlineStr">
        <is>
          <t>5.100,00</t>
        </is>
      </c>
      <c r="F118" s="4" t="inlineStr">
        <is>
          <t>100.00</t>
        </is>
      </c>
    </row>
    <row collapsed="false" customFormat="false" customHeight="false" hidden="false" ht="12.1" outlineLevel="0" r="119">
      <c r="A119" s="5" t="s">
        <f>=HYPERLINK("https://www.leilaoonline.com.br/lote/detalhe/329713", "37209")</f>
      </c>
      <c r="B119" s="4" t="s">
        <f>=HYPERLINK("https://www.leilaoonline.com.br/lote/detalhe/329713", "APROX. 12 ITENS DE MOBILIARIO DIVERSOS. (VEJA DESCRITIVO DE ITENS) -  LOC. UNIVALEM/ VALPARAISO ")</f>
      </c>
      <c r="C119" s="4" t="inlineStr">
        <is>
          <t>Não vendido</t>
        </is>
      </c>
      <c r="D119" s="4" t="inlineStr">
        <is>
          <t>9</t>
        </is>
      </c>
      <c r="E119" s="5" t="inlineStr">
        <is>
          <t>2.200,00</t>
        </is>
      </c>
      <c r="F119" s="4" t="inlineStr">
        <is>
          <t>150.00</t>
        </is>
      </c>
    </row>
    <row collapsed="false" customFormat="false" customHeight="false" hidden="false" ht="12.1" outlineLevel="0" r="120">
      <c r="A120" s="5" t="s">
        <f>=HYPERLINK("https://www.leilaoonline.com.br/lote/detalhe/329707", "37211")</f>
      </c>
      <c r="B120" s="4" t="s">
        <f>=HYPERLINK("https://www.leilaoonline.com.br/lote/detalhe/329707", "ITENS DIVERSOS: 06 MESAS, 50 CADEIRAS, 05 BANCADAS, 05 BANQUINHOS DE MADEIRA, 01 ARMARIO DE 8 PORTAS. -  LOC. UNIVALEM/ VALPARAISO ")</f>
      </c>
      <c r="C120" s="4" t="inlineStr">
        <is>
          <t>Vendido</t>
        </is>
      </c>
      <c r="D120" s="4" t="inlineStr">
        <is>
          <t>10</t>
        </is>
      </c>
      <c r="E120" s="5" t="inlineStr">
        <is>
          <t>2.800,00</t>
        </is>
      </c>
      <c r="F120" s="4" t="inlineStr">
        <is>
          <t>200.00</t>
        </is>
      </c>
    </row>
    <row collapsed="false" customFormat="false" customHeight="false" hidden="false" ht="12.1" outlineLevel="0" r="121">
      <c r="A121" s="5" t="s">
        <f>=HYPERLINK("https://www.leilaoonline.com.br/lote/detalhe/329711", "37212")</f>
      </c>
      <c r="B121" s="4" t="s">
        <f>=HYPERLINK("https://www.leilaoonline.com.br/lote/detalhe/329711", "03 AR-CONDICIONADO COMFEE 22.000 BTU. - LOC. UNIVALEM/ VALPARAISO ")</f>
      </c>
      <c r="C121" s="4" t="inlineStr">
        <is>
          <t>Vendido</t>
        </is>
      </c>
      <c r="D121" s="4" t="inlineStr">
        <is>
          <t>17</t>
        </is>
      </c>
      <c r="E121" s="5" t="inlineStr">
        <is>
          <t>5.500,00</t>
        </is>
      </c>
      <c r="F121" s="4" t="inlineStr">
        <is>
          <t>250.00</t>
        </is>
      </c>
    </row>
    <row collapsed="false" customFormat="false" customHeight="false" hidden="false" ht="12.1" outlineLevel="0" r="122">
      <c r="A122" s="5" t="s">
        <f>=HYPERLINK("https://www.leilaoonline.com.br/lote/detalhe/329704", "37213")</f>
      </c>
      <c r="B122" s="4" t="s">
        <f>=HYPERLINK("https://www.leilaoonline.com.br/lote/detalhe/329704", "APROX. 24 ITENS DE MOBILIARIO DIVERSOS. - VEJA DESCRITIVO DE ITENS . - LOC. UNIVALEM/ VALPARAISO ")</f>
      </c>
      <c r="C122" s="4" t="inlineStr">
        <is>
          <t>Não vendido</t>
        </is>
      </c>
      <c r="D122" s="4" t="inlineStr">
        <is>
          <t>6</t>
        </is>
      </c>
      <c r="E122" s="5" t="inlineStr">
        <is>
          <t>2.000,00</t>
        </is>
      </c>
      <c r="F122" s="4" t="inlineStr">
        <is>
          <t>200.00</t>
        </is>
      </c>
    </row>
    <row collapsed="false" customFormat="false" customHeight="false" hidden="false" ht="12.1" outlineLevel="0" r="123">
      <c r="A123" s="5" t="s">
        <f>=HYPERLINK("https://www.leilaoonline.com.br/lote/detalhe/329714", "37214")</f>
      </c>
      <c r="B123" s="4" t="s">
        <f>=HYPERLINK("https://www.leilaoonline.com.br/lote/detalhe/329714", "APROX. 42 CADEIRAS UNIVERSITÁRIAS, 70 COLCHONETES, ARMÁRIOS ESCRITÓRIO, 01 MESA DE CENTRO (VIDRO), 34 PUFFS QUADRADOS. -  LOC. UNIVALEM/ VALPARAISO ")</f>
      </c>
      <c r="C123" s="4" t="inlineStr">
        <is>
          <t>Não vendido</t>
        </is>
      </c>
      <c r="D123" s="4" t="inlineStr">
        <is>
          <t>9</t>
        </is>
      </c>
      <c r="E123" s="5" t="inlineStr">
        <is>
          <t>2.200,00</t>
        </is>
      </c>
      <c r="F123" s="4" t="inlineStr">
        <is>
          <t>150.00</t>
        </is>
      </c>
    </row>
    <row collapsed="false" customFormat="false" customHeight="false" hidden="false" ht="12.1" outlineLevel="0" r="124">
      <c r="A124" s="5" t="s">
        <f>=HYPERLINK("https://www.leilaoonline.com.br/lote/detalhe/329705", "37215")</f>
      </c>
      <c r="B124" s="4" t="s">
        <f>=HYPERLINK("https://www.leilaoonline.com.br/lote/detalhe/329705", "05 AR-CONDICIONADO SPRINGER 18.000 BTU. - LOC. UNIVALEM/ VALPARAISO ")</f>
      </c>
      <c r="C124" s="4" t="inlineStr">
        <is>
          <t>Vendido</t>
        </is>
      </c>
      <c r="D124" s="4" t="inlineStr">
        <is>
          <t>14</t>
        </is>
      </c>
      <c r="E124" s="5" t="inlineStr">
        <is>
          <t>4.250,00</t>
        </is>
      </c>
      <c r="F124" s="4" t="inlineStr">
        <is>
          <t>250.00</t>
        </is>
      </c>
    </row>
    <row collapsed="false" customFormat="false" customHeight="false" hidden="false" ht="12.1" outlineLevel="0" r="125">
      <c r="A125" s="5" t="s">
        <f>=HYPERLINK("https://www.leilaoonline.com.br/lote/detalhe/329715", "37216")</f>
      </c>
      <c r="B125" s="4" t="s">
        <f>=HYPERLINK("https://www.leilaoonline.com.br/lote/detalhe/329715", "03 AR-CONDICIONADO CARRIER 30.000 BTU - PT140610,PT140611,PT140612. - LOC. UNIVALEM/ VALPARAISO ")</f>
      </c>
      <c r="C125" s="4" t="inlineStr">
        <is>
          <t>Vendido</t>
        </is>
      </c>
      <c r="D125" s="4" t="inlineStr">
        <is>
          <t>23</t>
        </is>
      </c>
      <c r="E125" s="5" t="inlineStr">
        <is>
          <t>2.900,00</t>
        </is>
      </c>
      <c r="F125" s="4" t="inlineStr">
        <is>
          <t>100.00</t>
        </is>
      </c>
    </row>
    <row collapsed="false" customFormat="false" customHeight="false" hidden="false" ht="12.1" outlineLevel="0" r="126">
      <c r="A126" s="5" t="s">
        <f>=HYPERLINK("https://www.leilaoonline.com.br/lote/detalhe/329708", "37217")</f>
      </c>
      <c r="B126" s="4" t="s">
        <f>=HYPERLINK("https://www.leilaoonline.com.br/lote/detalhe/329708", "13 MESAS, 12 ARMARIOS 2 PORTAS, 03 ARMARIOS DE ARQUIVOS - LOC. UNIVALEM/ VALPARAISO ")</f>
      </c>
      <c r="C126" s="4" t="inlineStr">
        <is>
          <t>Vendido</t>
        </is>
      </c>
      <c r="D126" s="4" t="inlineStr">
        <is>
          <t>13</t>
        </is>
      </c>
      <c r="E126" s="5" t="inlineStr">
        <is>
          <t>3.400,00</t>
        </is>
      </c>
      <c r="F126" s="4" t="inlineStr">
        <is>
          <t>200.00</t>
        </is>
      </c>
    </row>
    <row collapsed="false" customFormat="false" customHeight="false" hidden="false" ht="12.1" outlineLevel="0" r="127">
      <c r="A127" s="5" t="s">
        <f>=HYPERLINK("https://www.leilaoonline.com.br/lote/detalhe/329343", "37229")</f>
      </c>
      <c r="B127" s="4" t="s">
        <f>=HYPERLINK("https://www.leilaoonline.com.br/lote/detalhe/329343", "CAMINHÃO VOLKSWAGEN 26.280 CRM 6X4 - ANO 2012/2013 - BRANCO - FR81314 - LOC. UNIVALEM")</f>
      </c>
      <c r="C127" s="4" t="inlineStr">
        <is>
          <t>Não vendido</t>
        </is>
      </c>
      <c r="D127" s="4" t="inlineStr">
        <is>
          <t>32</t>
        </is>
      </c>
      <c r="E127" s="5" t="inlineStr">
        <is>
          <t>111.000,00</t>
        </is>
      </c>
      <c r="F127" s="4" t="inlineStr">
        <is>
          <t>1500.00</t>
        </is>
      </c>
    </row>
    <row collapsed="false" customFormat="false" customHeight="false" hidden="false" ht="12.1" outlineLevel="0" r="128">
      <c r="A128" s="5" t="s">
        <f>=HYPERLINK("https://www.leilaoonline.com.br/lote/detalhe/329345", "37230")</f>
      </c>
      <c r="B128" s="4" t="s">
        <f>=HYPERLINK("https://www.leilaoonline.com.br/lote/detalhe/329345", "PEÇAS DE REPOSIÇÃO EQUIPAMENTOS AGRICOLA - APROXIMADAMENTE 8 CAMPANAS - LOC. UNIVALEM")</f>
      </c>
      <c r="C128" s="4" t="inlineStr">
        <is>
          <t>Vendido</t>
        </is>
      </c>
      <c r="D128" s="4" t="inlineStr">
        <is>
          <t>1</t>
        </is>
      </c>
      <c r="E128" s="5" t="inlineStr">
        <is>
          <t>1.000,00</t>
        </is>
      </c>
      <c r="F128" s="4" t="inlineStr">
        <is>
          <t>250.00</t>
        </is>
      </c>
    </row>
    <row collapsed="false" customFormat="false" customHeight="false" hidden="false" ht="12.1" outlineLevel="0" r="129">
      <c r="A129" s="5" t="s">
        <f>=HYPERLINK("https://www.leilaoonline.com.br/lote/detalhe/329346", "37231")</f>
      </c>
      <c r="B129" s="4" t="s">
        <f>=HYPERLINK("https://www.leilaoonline.com.br/lote/detalhe/329346", "SUCATA DE BORRACHA - APROX. 4 TONELADAS - (VENDA POR KG) - LOC. UNIVALEM")</f>
      </c>
      <c r="C129" s="4" t="inlineStr">
        <is>
          <t>Vendido</t>
        </is>
      </c>
      <c r="D129" s="4" t="inlineStr">
        <is>
          <t>2</t>
        </is>
      </c>
      <c r="E129" s="5" t="inlineStr">
        <is>
          <t>4.000,00</t>
        </is>
      </c>
      <c r="F129" s="4" t="inlineStr">
        <is>
          <t>0.10</t>
        </is>
      </c>
    </row>
    <row collapsed="false" customFormat="false" customHeight="false" hidden="false" ht="12.1" outlineLevel="0" r="130">
      <c r="A130" s="5" t="s">
        <f>=HYPERLINK("https://www.leilaoonline.com.br/lote/detalhe/329260", "37232")</f>
      </c>
      <c r="B130" s="4" t="s">
        <f>=HYPERLINK("https://www.leilaoonline.com.br/lote/detalhe/329260", "CARRETA ABRIGO FAB. PROPRIA (SUCATEADA) - LOC. BENALCOOL")</f>
      </c>
      <c r="C130" s="4" t="inlineStr">
        <is>
          <t>Não vendido</t>
        </is>
      </c>
      <c r="D130" s="4" t="inlineStr">
        <is>
          <t>0</t>
        </is>
      </c>
      <c r="E130" s="5" t="inlineStr">
        <is>
          <t>2.500,00</t>
        </is>
      </c>
      <c r="F130" s="4" t="inlineStr">
        <is>
          <t>500.00</t>
        </is>
      </c>
    </row>
    <row collapsed="false" customFormat="false" customHeight="false" hidden="false" ht="12.1" outlineLevel="0" r="131">
      <c r="A131" s="5" t="s">
        <f>=HYPERLINK("https://www.leilaoonline.com.br/lote/detalhe/329316", "37233")</f>
      </c>
      <c r="B131" s="4" t="s">
        <f>=HYPERLINK("https://www.leilaoonline.com.br/lote/detalhe/329316", "SULCADOR - ANO 1995 - FR122216 - LOC. DESTIVALE")</f>
      </c>
      <c r="C131" s="4" t="inlineStr">
        <is>
          <t>Não vendido</t>
        </is>
      </c>
      <c r="D131" s="4" t="inlineStr">
        <is>
          <t>0</t>
        </is>
      </c>
      <c r="E131" s="5" t="inlineStr">
        <is>
          <t>1.000,00</t>
        </is>
      </c>
      <c r="F131" s="4" t="inlineStr">
        <is>
          <t>250.00</t>
        </is>
      </c>
    </row>
    <row collapsed="false" customFormat="false" customHeight="false" hidden="false" ht="12.1" outlineLevel="0" r="132">
      <c r="A132" s="5" t="s">
        <f>=HYPERLINK("https://www.leilaoonline.com.br/lote/detalhe/329329", "37234")</f>
      </c>
      <c r="B132" s="4" t="s">
        <f>=HYPERLINK("https://www.leilaoonline.com.br/lote/detalhe/329329", "CAMINHÃO VOLKSWAGEN 15.180 EURO3 WORKER - ANO 2010/2010 - BRANCO - FR40212 - (SEM CÂMBIO) - LOC. DESTIVALE")</f>
      </c>
      <c r="C132" s="4" t="inlineStr">
        <is>
          <t>Não vendido</t>
        </is>
      </c>
      <c r="D132" s="4" t="inlineStr">
        <is>
          <t>29</t>
        </is>
      </c>
      <c r="E132" s="5" t="inlineStr">
        <is>
          <t>72.000,00</t>
        </is>
      </c>
      <c r="F132" s="4" t="inlineStr">
        <is>
          <t>1500.00</t>
        </is>
      </c>
    </row>
    <row collapsed="false" customFormat="false" customHeight="false" hidden="false" ht="12.1" outlineLevel="0" r="133">
      <c r="A133" s="5" t="s">
        <f>=HYPERLINK("https://www.leilaoonline.com.br/lote/detalhe/329330", "37235")</f>
      </c>
      <c r="B133" s="4" t="s">
        <f>=HYPERLINK("https://www.leilaoonline.com.br/lote/detalhe/329330", "CAMINHÃO VOLKSWAGEN 15.190 WORKER - ANO 2014/2014 - BRANCO - FR91353 - LOC. DESTIVALE")</f>
      </c>
      <c r="C133" s="4" t="inlineStr">
        <is>
          <t>Vendido</t>
        </is>
      </c>
      <c r="D133" s="4" t="inlineStr">
        <is>
          <t>20</t>
        </is>
      </c>
      <c r="E133" s="5" t="inlineStr">
        <is>
          <t>72.000,00</t>
        </is>
      </c>
      <c r="F133" s="4" t="inlineStr">
        <is>
          <t>1500.00</t>
        </is>
      </c>
    </row>
    <row collapsed="false" customFormat="false" customHeight="false" hidden="false" ht="12.1" outlineLevel="0" r="134">
      <c r="A134" s="5" t="s">
        <f>=HYPERLINK("https://www.leilaoonline.com.br/lote/detalhe/329349", "37236")</f>
      </c>
      <c r="B134" s="4" t="s">
        <f>=HYPERLINK("https://www.leilaoonline.com.br/lote/detalhe/329349", "CARREGADORA CANA VALTRA - ANO 2011 - FR163481 - LOC. JATAÍ")</f>
      </c>
      <c r="C134" s="4" t="inlineStr">
        <is>
          <t>Vendido</t>
        </is>
      </c>
      <c r="D134" s="4" t="inlineStr">
        <is>
          <t>54</t>
        </is>
      </c>
      <c r="E134" s="5" t="inlineStr">
        <is>
          <t>154.000,00</t>
        </is>
      </c>
      <c r="F134" s="4" t="inlineStr">
        <is>
          <t>2000.00</t>
        </is>
      </c>
    </row>
    <row collapsed="false" customFormat="false" customHeight="false" hidden="false" ht="12.1" outlineLevel="0" r="135">
      <c r="A135" s="5" t="s">
        <f>=HYPERLINK("https://www.leilaoonline.com.br/lote/detalhe/329350", "37237")</f>
      </c>
      <c r="B135" s="4" t="s">
        <f>=HYPERLINK("https://www.leilaoonline.com.br/lote/detalhe/329350", "CARREGADORA CANA VALTRA - ANO 2011 - FR163480 - LOC. JATAÍ")</f>
      </c>
      <c r="C135" s="4" t="inlineStr">
        <is>
          <t>Vendido</t>
        </is>
      </c>
      <c r="D135" s="4" t="inlineStr">
        <is>
          <t>54</t>
        </is>
      </c>
      <c r="E135" s="5" t="inlineStr">
        <is>
          <t>126.000,00</t>
        </is>
      </c>
      <c r="F135" s="4" t="inlineStr">
        <is>
          <t>2000.00</t>
        </is>
      </c>
    </row>
    <row collapsed="false" customFormat="false" customHeight="false" hidden="false" ht="12.1" outlineLevel="0" r="136">
      <c r="A136" s="5" t="s">
        <f>=HYPERLINK("https://www.leilaoonline.com.br/lote/detalhe/329351", "37238")</f>
      </c>
      <c r="B136" s="4" t="s">
        <f>=HYPERLINK("https://www.leilaoonline.com.br/lote/detalhe/329351", "REBOQUE 4E RANDON 12,50M CANA PICADA C/ RALA - ANO 2012/2012 - AZUL - FR10899 - LOC. JATAÍ")</f>
      </c>
      <c r="C136" s="4" t="inlineStr">
        <is>
          <t>Não vendido</t>
        </is>
      </c>
      <c r="D136" s="4" t="inlineStr">
        <is>
          <t>16</t>
        </is>
      </c>
      <c r="E136" s="5" t="inlineStr">
        <is>
          <t>35.000,00</t>
        </is>
      </c>
      <c r="F136" s="4" t="inlineStr">
        <is>
          <t>1000.00</t>
        </is>
      </c>
    </row>
    <row collapsed="false" customFormat="false" customHeight="false" hidden="false" ht="12.1" outlineLevel="0" r="137">
      <c r="A137" s="5" t="s">
        <f>=HYPERLINK("https://www.leilaoonline.com.br/lote/detalhe/329352", "37239")</f>
      </c>
      <c r="B137" s="4" t="s">
        <f>=HYPERLINK("https://www.leilaoonline.com.br/lote/detalhe/329352", "REBOQUE 4E RANDON 12,50M CANA PICADA C/ RALA, ANO 2012/2012 - AZUL - FR70395 - LOC. JATAÍ")</f>
      </c>
      <c r="C137" s="4" t="inlineStr">
        <is>
          <t>Não vendido</t>
        </is>
      </c>
      <c r="D137" s="4" t="inlineStr">
        <is>
          <t>12</t>
        </is>
      </c>
      <c r="E137" s="5" t="inlineStr">
        <is>
          <t>31.000,00</t>
        </is>
      </c>
      <c r="F137" s="4" t="inlineStr">
        <is>
          <t>1000.00</t>
        </is>
      </c>
    </row>
    <row collapsed="false" customFormat="false" customHeight="false" hidden="false" ht="12.1" outlineLevel="0" r="138">
      <c r="A138" s="5" t="s">
        <f>=HYPERLINK("https://www.leilaoonline.com.br/lote/detalhe/329353", "37240")</f>
      </c>
      <c r="B138" s="4" t="s">
        <f>=HYPERLINK("https://www.leilaoonline.com.br/lote/detalhe/329353", "REBOQUE 4E RANDON 12,50M CANA PICADA C/ RALA - ANO 2012/2012 - AZUL - FR10912 - (DANO MÉDIA MONTA) - LOC. JATAÍ")</f>
      </c>
      <c r="C138" s="4" t="inlineStr">
        <is>
          <t>Não vendido</t>
        </is>
      </c>
      <c r="D138" s="4" t="inlineStr">
        <is>
          <t>5</t>
        </is>
      </c>
      <c r="E138" s="5" t="inlineStr">
        <is>
          <t>24.000,00</t>
        </is>
      </c>
      <c r="F138" s="4" t="inlineStr">
        <is>
          <t>1000.00</t>
        </is>
      </c>
    </row>
    <row collapsed="false" customFormat="false" customHeight="false" hidden="false" ht="12.1" outlineLevel="0" r="139">
      <c r="A139" s="5" t="s">
        <f>=HYPERLINK("https://www.leilaoonline.com.br/lote/detalhe/329481", "37241")</f>
      </c>
      <c r="B139" s="4" t="s">
        <f>=HYPERLINK("https://www.leilaoonline.com.br/lote/detalhe/329481", "REBOQUE 4E RANDON 12,50M CANA PICADA C/ RALA - ANO 2012/2012 - AZUL - FR70398 - LOC. JATAÍ")</f>
      </c>
      <c r="C139" s="4" t="inlineStr">
        <is>
          <t>Não vendido</t>
        </is>
      </c>
      <c r="D139" s="4" t="inlineStr">
        <is>
          <t>7</t>
        </is>
      </c>
      <c r="E139" s="5" t="inlineStr">
        <is>
          <t>26.000,00</t>
        </is>
      </c>
      <c r="F139" s="4" t="inlineStr">
        <is>
          <t>1000.00</t>
        </is>
      </c>
    </row>
    <row collapsed="false" customFormat="false" customHeight="false" hidden="false" ht="12.1" outlineLevel="0" r="140">
      <c r="A140" s="5" t="s">
        <f>=HYPERLINK("https://www.leilaoonline.com.br/lote/detalhe/329482", "37242")</f>
      </c>
      <c r="B140" s="4" t="s">
        <f>=HYPERLINK("https://www.leilaoonline.com.br/lote/detalhe/329482", "SEMI REBOQUE RANDON SR CA (CARRETA TRANSPORTE ADUBO) - ANO 2007/2007 - AZUL - FR91180 - LOC. JATAÍ")</f>
      </c>
      <c r="C140" s="4" t="inlineStr">
        <is>
          <t>Vendido</t>
        </is>
      </c>
      <c r="D140" s="4" t="inlineStr">
        <is>
          <t>9</t>
        </is>
      </c>
      <c r="E140" s="5" t="inlineStr">
        <is>
          <t>18.000,00</t>
        </is>
      </c>
      <c r="F140" s="4" t="inlineStr">
        <is>
          <t>1000.00</t>
        </is>
      </c>
    </row>
    <row collapsed="false" customFormat="false" customHeight="false" hidden="false" ht="12.1" outlineLevel="0" r="141">
      <c r="A141" s="5" t="s">
        <f>=HYPERLINK("https://www.leilaoonline.com.br/lote/detalhe/329480", "37243")</f>
      </c>
      <c r="B141" s="4" t="s">
        <f>=HYPERLINK("https://www.leilaoonline.com.br/lote/detalhe/329480", "REBOQUE RANDON SP RQ CA - ANO 2010/2011 - AZUL - FR164101 - LOC. JATAÍ")</f>
      </c>
      <c r="C141" s="4" t="inlineStr">
        <is>
          <t>Não vendido</t>
        </is>
      </c>
      <c r="D141" s="4" t="inlineStr">
        <is>
          <t>18</t>
        </is>
      </c>
      <c r="E141" s="5" t="inlineStr">
        <is>
          <t>27.000,00</t>
        </is>
      </c>
      <c r="F141" s="4" t="inlineStr">
        <is>
          <t>1000.00</t>
        </is>
      </c>
    </row>
    <row collapsed="false" customFormat="false" customHeight="false" hidden="false" ht="12.1" outlineLevel="0" r="142">
      <c r="A142" s="5" t="s">
        <f>=HYPERLINK("https://www.leilaoonline.com.br/lote/detalhe/329354", "37246")</f>
      </c>
      <c r="B142" s="4" t="s">
        <f>=HYPERLINK("https://www.leilaoonline.com.br/lote/detalhe/329354", "CAMINHÃO VOLVO FM 440 6X4T - ANO 2008/2009 - BRANCO - FR163300 - LOC. JATAÍ")</f>
      </c>
      <c r="C142" s="4" t="inlineStr">
        <is>
          <t>Vendido</t>
        </is>
      </c>
      <c r="D142" s="4" t="inlineStr">
        <is>
          <t>40</t>
        </is>
      </c>
      <c r="E142" s="5" t="inlineStr">
        <is>
          <t>49.000,00</t>
        </is>
      </c>
      <c r="F142" s="4" t="inlineStr">
        <is>
          <t>1000.00</t>
        </is>
      </c>
    </row>
    <row collapsed="false" customFormat="false" customHeight="false" hidden="false" ht="12.1" outlineLevel="0" r="143">
      <c r="A143" s="5" t="s">
        <f>=HYPERLINK("https://www.leilaoonline.com.br/lote/detalhe/329478", "37247")</f>
      </c>
      <c r="B143" s="4" t="s">
        <f>=HYPERLINK("https://www.leilaoonline.com.br/lote/detalhe/329478", "CAMINHÃO VOLVO FM 440 6X4T - ANO 2009/2009 - BRANCO - FR163301 - LOC. JATAÍ")</f>
      </c>
      <c r="C143" s="4" t="inlineStr">
        <is>
          <t>Vendido</t>
        </is>
      </c>
      <c r="D143" s="4" t="inlineStr">
        <is>
          <t>38</t>
        </is>
      </c>
      <c r="E143" s="5" t="inlineStr">
        <is>
          <t>47.000,00</t>
        </is>
      </c>
      <c r="F143" s="4" t="inlineStr">
        <is>
          <t>1000.00</t>
        </is>
      </c>
    </row>
    <row collapsed="false" customFormat="false" customHeight="false" hidden="false" ht="12.1" outlineLevel="0" r="144">
      <c r="A144" s="5" t="s">
        <f>=HYPERLINK("https://www.leilaoonline.com.br/lote/detalhe/329479", "37248")</f>
      </c>
      <c r="B144" s="4" t="s">
        <f>=HYPERLINK("https://www.leilaoonline.com.br/lote/detalhe/329479", "CARREGADORA CANA VALTRA - ANO 2011 - FR163482 - LOC. JATAÍ")</f>
      </c>
      <c r="C144" s="4" t="inlineStr">
        <is>
          <t>Vendido</t>
        </is>
      </c>
      <c r="D144" s="4" t="inlineStr">
        <is>
          <t>57</t>
        </is>
      </c>
      <c r="E144" s="5" t="inlineStr">
        <is>
          <t>140.000,00</t>
        </is>
      </c>
      <c r="F144" s="4" t="inlineStr">
        <is>
          <t>2000.00</t>
        </is>
      </c>
    </row>
    <row collapsed="false" customFormat="false" customHeight="false" hidden="false" ht="12.1" outlineLevel="0" r="145">
      <c r="A145" s="5" t="s">
        <f>=HYPERLINK("https://www.leilaoonline.com.br/lote/detalhe/329488", "37249")</f>
      </c>
      <c r="B145" s="4" t="s">
        <f>=HYPERLINK("https://www.leilaoonline.com.br/lote/detalhe/329488", "CARRINHO DE HIDROHOLL - S/FR - LOC. JATAÍ")</f>
      </c>
      <c r="C145" s="4" t="inlineStr">
        <is>
          <t>Vendido</t>
        </is>
      </c>
      <c r="D145" s="4" t="inlineStr">
        <is>
          <t>6</t>
        </is>
      </c>
      <c r="E145" s="5" t="inlineStr">
        <is>
          <t>1.000,00</t>
        </is>
      </c>
      <c r="F145" s="4" t="inlineStr">
        <is>
          <t>100.00</t>
        </is>
      </c>
    </row>
    <row collapsed="false" customFormat="false" customHeight="false" hidden="false" ht="12.1" outlineLevel="0" r="146">
      <c r="A146" s="5" t="s">
        <f>=HYPERLINK("https://www.leilaoonline.com.br/lote/detalhe/329489", "37250")</f>
      </c>
      <c r="B146" s="4" t="s">
        <f>=HYPERLINK("https://www.leilaoonline.com.br/lote/detalhe/329489", "CARRINHO DE HIDROHOLL - S/FR - LOC. JATAÍ")</f>
      </c>
      <c r="C146" s="4" t="inlineStr">
        <is>
          <t>Vendido</t>
        </is>
      </c>
      <c r="D146" s="4" t="inlineStr">
        <is>
          <t>6</t>
        </is>
      </c>
      <c r="E146" s="5" t="inlineStr">
        <is>
          <t>1.000,00</t>
        </is>
      </c>
      <c r="F146" s="4" t="inlineStr">
        <is>
          <t>100.00</t>
        </is>
      </c>
    </row>
    <row collapsed="false" customFormat="false" customHeight="false" hidden="false" ht="12.1" outlineLevel="0" r="147">
      <c r="A147" s="5" t="s">
        <f>=HYPERLINK("https://www.leilaoonline.com.br/lote/detalhe/329490", "37251")</f>
      </c>
      <c r="B147" s="4" t="s">
        <f>=HYPERLINK("https://www.leilaoonline.com.br/lote/detalhe/329490", "CARRINHO DE HIDROHOLL - S/FR - LOC. JATAÍ")</f>
      </c>
      <c r="C147" s="4" t="inlineStr">
        <is>
          <t>Vendido</t>
        </is>
      </c>
      <c r="D147" s="4" t="inlineStr">
        <is>
          <t>5</t>
        </is>
      </c>
      <c r="E147" s="5" t="inlineStr">
        <is>
          <t>900,00</t>
        </is>
      </c>
      <c r="F147" s="4" t="inlineStr">
        <is>
          <t>100.00</t>
        </is>
      </c>
    </row>
    <row collapsed="false" customFormat="false" customHeight="false" hidden="false" ht="12.1" outlineLevel="0" r="148">
      <c r="A148" s="5" t="s">
        <f>=HYPERLINK("https://www.leilaoonline.com.br/lote/detalhe/329491", "37252")</f>
      </c>
      <c r="B148" s="4" t="s">
        <f>=HYPERLINK("https://www.leilaoonline.com.br/lote/detalhe/329491", "CARRINHO DE HIDROHOLL - S/FR - LOC. JATAÍ")</f>
      </c>
      <c r="C148" s="4" t="inlineStr">
        <is>
          <t>Vendido</t>
        </is>
      </c>
      <c r="D148" s="4" t="inlineStr">
        <is>
          <t>5</t>
        </is>
      </c>
      <c r="E148" s="5" t="inlineStr">
        <is>
          <t>900,00</t>
        </is>
      </c>
      <c r="F148" s="4" t="inlineStr">
        <is>
          <t>100.00</t>
        </is>
      </c>
    </row>
    <row collapsed="false" customFormat="false" customHeight="false" hidden="false" ht="12.1" outlineLevel="0" r="149">
      <c r="A149" s="5" t="s">
        <f>=HYPERLINK("https://www.leilaoonline.com.br/lote/detalhe/329492", "37253")</f>
      </c>
      <c r="B149" s="4" t="s">
        <f>=HYPERLINK("https://www.leilaoonline.com.br/lote/detalhe/329492", "CARRINHO DE HIDROHOLL - S/FR - LOC. JATAÍ")</f>
      </c>
      <c r="C149" s="4" t="inlineStr">
        <is>
          <t>Vendido</t>
        </is>
      </c>
      <c r="D149" s="4" t="inlineStr">
        <is>
          <t>6</t>
        </is>
      </c>
      <c r="E149" s="5" t="inlineStr">
        <is>
          <t>1.000,00</t>
        </is>
      </c>
      <c r="F149" s="4" t="inlineStr">
        <is>
          <t>100.00</t>
        </is>
      </c>
    </row>
    <row collapsed="false" customFormat="false" customHeight="false" hidden="false" ht="12.1" outlineLevel="0" r="150">
      <c r="A150" s="5" t="s">
        <f>=HYPERLINK("https://www.leilaoonline.com.br/lote/detalhe/329493", "37254")</f>
      </c>
      <c r="B150" s="4" t="s">
        <f>=HYPERLINK("https://www.leilaoonline.com.br/lote/detalhe/329493", "CARRINHO DE HIDROHOLL - S/FR - LOC. JATAÍ")</f>
      </c>
      <c r="C150" s="4" t="inlineStr">
        <is>
          <t>Vendido</t>
        </is>
      </c>
      <c r="D150" s="4" t="inlineStr">
        <is>
          <t>5</t>
        </is>
      </c>
      <c r="E150" s="5" t="inlineStr">
        <is>
          <t>900,00</t>
        </is>
      </c>
      <c r="F150" s="4" t="inlineStr">
        <is>
          <t>100.00</t>
        </is>
      </c>
    </row>
    <row collapsed="false" customFormat="false" customHeight="false" hidden="false" ht="12.1" outlineLevel="0" r="151">
      <c r="A151" s="5" t="s">
        <f>=HYPERLINK("https://www.leilaoonline.com.br/lote/detalhe/329494", "37255")</f>
      </c>
      <c r="B151" s="4" t="s">
        <f>=HYPERLINK("https://www.leilaoonline.com.br/lote/detalhe/329494", "CARRINHO DE HIDROHOLL - S/FR - LOC. JATAÍ")</f>
      </c>
      <c r="C151" s="4" t="inlineStr">
        <is>
          <t>Vendido</t>
        </is>
      </c>
      <c r="D151" s="4" t="inlineStr">
        <is>
          <t>5</t>
        </is>
      </c>
      <c r="E151" s="5" t="inlineStr">
        <is>
          <t>900,00</t>
        </is>
      </c>
      <c r="F151" s="4" t="inlineStr">
        <is>
          <t>100.00</t>
        </is>
      </c>
    </row>
    <row collapsed="false" customFormat="false" customHeight="false" hidden="false" ht="12.1" outlineLevel="0" r="152">
      <c r="A152" s="5" t="s">
        <f>=HYPERLINK("https://www.leilaoonline.com.br/lote/detalhe/329483", "37256")</f>
      </c>
      <c r="B152" s="4" t="s">
        <f>=HYPERLINK("https://www.leilaoonline.com.br/lote/detalhe/329483", "MOTOR DE INDUÇÃO, MOD. MGF 800 L - WEG - PT228391 - LOC. JATAÍ")</f>
      </c>
      <c r="C152" s="4" t="inlineStr">
        <is>
          <t>Não vendido</t>
        </is>
      </c>
      <c r="D152" s="4" t="inlineStr">
        <is>
          <t>3</t>
        </is>
      </c>
      <c r="E152" s="5" t="inlineStr">
        <is>
          <t>50.500,00</t>
        </is>
      </c>
      <c r="F152" s="4" t="inlineStr">
        <is>
          <t>1000.00</t>
        </is>
      </c>
    </row>
    <row collapsed="false" customFormat="false" customHeight="false" hidden="false" ht="12.1" outlineLevel="0" r="153">
      <c r="A153" s="5" t="s">
        <f>=HYPERLINK("https://www.leilaoonline.com.br/lote/detalhe/329484", "37257")</f>
      </c>
      <c r="B153" s="4" t="s">
        <f>=HYPERLINK("https://www.leilaoonline.com.br/lote/detalhe/329484", "PENEIRA ROTATIVA SUCATEADA - APROXIMADAMENTE 5 TON - S/FR - LOC. JATAÍ")</f>
      </c>
      <c r="C153" s="4" t="inlineStr">
        <is>
          <t>Vendido</t>
        </is>
      </c>
      <c r="D153" s="4" t="inlineStr">
        <is>
          <t>10</t>
        </is>
      </c>
      <c r="E153" s="5" t="inlineStr">
        <is>
          <t>9.500,00</t>
        </is>
      </c>
      <c r="F153" s="4" t="inlineStr">
        <is>
          <t>500.00</t>
        </is>
      </c>
    </row>
    <row collapsed="false" customFormat="false" customHeight="false" hidden="false" ht="12.1" outlineLevel="0" r="154">
      <c r="A154" s="5" t="s">
        <f>=HYPERLINK("https://www.leilaoonline.com.br/lote/detalhe/329485", "37258")</f>
      </c>
      <c r="B154" s="4" t="s">
        <f>=HYPERLINK("https://www.leilaoonline.com.br/lote/detalhe/329485", "PENEIRA ROTATIVA SUCATEADA - APROXIMADAMENTE 5 TON - S/FR - LOC. JATAÍ")</f>
      </c>
      <c r="C154" s="4" t="inlineStr">
        <is>
          <t>Vendido</t>
        </is>
      </c>
      <c r="D154" s="4" t="inlineStr">
        <is>
          <t>6</t>
        </is>
      </c>
      <c r="E154" s="5" t="inlineStr">
        <is>
          <t>7.500,00</t>
        </is>
      </c>
      <c r="F154" s="4" t="inlineStr">
        <is>
          <t>500.00</t>
        </is>
      </c>
    </row>
    <row collapsed="false" customFormat="false" customHeight="false" hidden="false" ht="12.1" outlineLevel="0" r="155">
      <c r="A155" s="5" t="s">
        <f>=HYPERLINK("https://www.leilaoonline.com.br/lote/detalhe/329487", "37259")</f>
      </c>
      <c r="B155" s="4" t="s">
        <f>=HYPERLINK("https://www.leilaoonline.com.br/lote/detalhe/329487", "APROXIMADAMENTE 35 PEÇAS DE REPOSIÇÃO INDUSTRIAL - CURVAS AÇO CARBONO - S/FR - LOC. JATAÍ")</f>
      </c>
      <c r="C155" s="4" t="inlineStr">
        <is>
          <t>Vendido</t>
        </is>
      </c>
      <c r="D155" s="4" t="inlineStr">
        <is>
          <t>4</t>
        </is>
      </c>
      <c r="E155" s="5" t="inlineStr">
        <is>
          <t>3.500,00</t>
        </is>
      </c>
      <c r="F155" s="4" t="inlineStr">
        <is>
          <t>500.00</t>
        </is>
      </c>
    </row>
    <row collapsed="false" customFormat="false" customHeight="false" hidden="false" ht="12.1" outlineLevel="0" r="156">
      <c r="A156" s="5" t="s">
        <f>=HYPERLINK("https://www.leilaoonline.com.br/lote/detalhe/329486", "37260")</f>
      </c>
      <c r="B156" s="4" t="s">
        <f>=HYPERLINK("https://www.leilaoonline.com.br/lote/detalhe/329486", "TAMBORES MOENDA SUCATEADO - APROXIMADAMENTE 4 TON - S/FR - LOC. JATAÍ")</f>
      </c>
      <c r="C156" s="4" t="inlineStr">
        <is>
          <t>Vendido</t>
        </is>
      </c>
      <c r="D156" s="4" t="inlineStr">
        <is>
          <t>1</t>
        </is>
      </c>
      <c r="E156" s="5" t="inlineStr">
        <is>
          <t>2.000,00</t>
        </is>
      </c>
      <c r="F156" s="4" t="inlineStr">
        <is>
          <t>250.00</t>
        </is>
      </c>
    </row>
    <row collapsed="false" customFormat="false" customHeight="false" hidden="false" ht="12.1" outlineLevel="0" r="157">
      <c r="A157" s="5" t="s">
        <f>=HYPERLINK("https://www.leilaoonline.com.br/lote/detalhe/329495", "37261")</f>
      </c>
      <c r="B157" s="4" t="s">
        <f>=HYPERLINK("https://www.leilaoonline.com.br/lote/detalhe/329495", "APROXIMADAMENTE 50 PLACAS DE INOX TROCADOR DE CALOR SUCATEADAS - S/FR - LOC. JATAÍ")</f>
      </c>
      <c r="C157" s="4" t="inlineStr">
        <is>
          <t>Vendido</t>
        </is>
      </c>
      <c r="D157" s="4" t="inlineStr">
        <is>
          <t>2</t>
        </is>
      </c>
      <c r="E157" s="5" t="inlineStr">
        <is>
          <t>5.000,00</t>
        </is>
      </c>
      <c r="F157" s="4" t="inlineStr">
        <is>
          <t>500.00</t>
        </is>
      </c>
    </row>
    <row collapsed="false" customFormat="false" customHeight="false" hidden="false" ht="12.1" outlineLevel="0" r="158">
      <c r="A158" s="5" t="s">
        <f>=HYPERLINK("https://www.leilaoonline.com.br/lote/detalhe/329331", "37264")</f>
      </c>
      <c r="B158" s="4" t="s">
        <f>=HYPERLINK("https://www.leilaoonline.com.br/lote/detalhe/329331", "CARRETA ABRIGO OPERADORES IRRIGABRASIL (SR/SOUFER CFE 2E) - ANO 2012/2012- CINZA - FR103325 - LOC. GASA")</f>
      </c>
      <c r="C158" s="4" t="inlineStr">
        <is>
          <t>Vendido</t>
        </is>
      </c>
      <c r="D158" s="4" t="inlineStr">
        <is>
          <t>21</t>
        </is>
      </c>
      <c r="E158" s="5" t="inlineStr">
        <is>
          <t>18.500,00</t>
        </is>
      </c>
      <c r="F158" s="4" t="inlineStr">
        <is>
          <t>1000.00</t>
        </is>
      </c>
    </row>
    <row collapsed="false" customFormat="false" customHeight="false" hidden="false" ht="12.1" outlineLevel="0" r="159">
      <c r="A159" s="5" t="s">
        <f>=HYPERLINK("https://www.leilaoonline.com.br/lote/detalhe/329332", "37265")</f>
      </c>
      <c r="B159" s="4" t="s">
        <f>=HYPERLINK("https://www.leilaoonline.com.br/lote/detalhe/329332", "CARRETA ABRIGO VIVENCIA 12 PESSOAS (R/FEDERAL LG) - ANO 2013/2013 - CINZA - FR164390 - LOC. GASA")</f>
      </c>
      <c r="C159" s="4" t="inlineStr">
        <is>
          <t>Vendido</t>
        </is>
      </c>
      <c r="D159" s="4" t="inlineStr">
        <is>
          <t>16</t>
        </is>
      </c>
      <c r="E159" s="5" t="inlineStr">
        <is>
          <t>16.500,00</t>
        </is>
      </c>
      <c r="F159" s="4" t="inlineStr">
        <is>
          <t>1000.00</t>
        </is>
      </c>
    </row>
    <row collapsed="false" customFormat="false" customHeight="false" hidden="false" ht="12.1" outlineLevel="0" r="160">
      <c r="A160" s="5" t="s">
        <f>=HYPERLINK("https://www.leilaoonline.com.br/lote/detalhe/329333", "37266")</f>
      </c>
      <c r="B160" s="4" t="s">
        <f>=HYPERLINK("https://www.leilaoonline.com.br/lote/detalhe/329333", "CARRETA SERVIÇOS GERAIS - ANO 2013 - FR90953 - LOC. GASA")</f>
      </c>
      <c r="C160" s="4" t="inlineStr">
        <is>
          <t>Não vendido</t>
        </is>
      </c>
      <c r="D160" s="4" t="inlineStr">
        <is>
          <t>0</t>
        </is>
      </c>
      <c r="E160" s="5" t="inlineStr">
        <is>
          <t>2.000,00</t>
        </is>
      </c>
      <c r="F160" s="4" t="inlineStr">
        <is>
          <t>500.00</t>
        </is>
      </c>
    </row>
    <row collapsed="false" customFormat="false" customHeight="false" hidden="false" ht="12.1" outlineLevel="0" r="161">
      <c r="A161" s="5" t="s">
        <f>=HYPERLINK("https://www.leilaoonline.com.br/lote/detalhe/329334", "37267")</f>
      </c>
      <c r="B161" s="4" t="s">
        <f>=HYPERLINK("https://www.leilaoonline.com.br/lote/detalhe/329334", "DIFUSOR FLUTUANTE - SUCATEADO, PESO ESTIMADO: ENTRE 25 TONELADAS - LOC. GASA ")</f>
      </c>
      <c r="C161" s="4" t="inlineStr">
        <is>
          <t>Vendido</t>
        </is>
      </c>
      <c r="D161" s="4" t="inlineStr">
        <is>
          <t>3</t>
        </is>
      </c>
      <c r="E161" s="5" t="inlineStr">
        <is>
          <t>20.000,00</t>
        </is>
      </c>
      <c r="F161" s="4" t="inlineStr">
        <is>
          <t>1000.00</t>
        </is>
      </c>
    </row>
    <row collapsed="false" customFormat="false" customHeight="false" hidden="false" ht="12.1" outlineLevel="0" r="162">
      <c r="A162" s="5" t="s">
        <f>=HYPERLINK("https://www.leilaoonline.com.br/lote/detalhe/329335", "37268")</f>
      </c>
      <c r="B162" s="4" t="s">
        <f>=HYPERLINK("https://www.leilaoonline.com.br/lote/detalhe/329335", "2 TRANSFORMADORES COMTRAFO - SUCATEADOS - PT142914 / PT146353 - LOC. GASA")</f>
      </c>
      <c r="C162" s="4" t="inlineStr">
        <is>
          <t>Vendido</t>
        </is>
      </c>
      <c r="D162" s="4" t="inlineStr">
        <is>
          <t>60</t>
        </is>
      </c>
      <c r="E162" s="5" t="inlineStr">
        <is>
          <t>65.500,00</t>
        </is>
      </c>
      <c r="F162" s="4" t="inlineStr">
        <is>
          <t>1000.00</t>
        </is>
      </c>
    </row>
    <row collapsed="false" customFormat="false" customHeight="false" hidden="false" ht="12.1" outlineLevel="0" r="163">
      <c r="A163" s="5" t="s">
        <f>=HYPERLINK("https://www.leilaoonline.com.br/lote/detalhe/329336", "37269")</f>
      </c>
      <c r="B163" s="4" t="s">
        <f>=HYPERLINK("https://www.leilaoonline.com.br/lote/detalhe/329336", "ROSCA TRANSPORTADORA HELICOIDAL COM MOTOR WEG SUCATEADO - PT299563 - LOC. GASA")</f>
      </c>
      <c r="C163" s="4" t="inlineStr">
        <is>
          <t>Vendido</t>
        </is>
      </c>
      <c r="D163" s="4" t="inlineStr">
        <is>
          <t>4</t>
        </is>
      </c>
      <c r="E163" s="5" t="inlineStr">
        <is>
          <t>4.500,00</t>
        </is>
      </c>
      <c r="F163" s="4" t="inlineStr">
        <is>
          <t>500.00</t>
        </is>
      </c>
    </row>
    <row collapsed="false" customFormat="false" customHeight="false" hidden="false" ht="12.1" outlineLevel="0" r="164">
      <c r="A164" s="5" t="s">
        <f>=HYPERLINK("https://www.leilaoonline.com.br/lote/detalhe/329337", "37270")</f>
      </c>
      <c r="B164" s="4" t="s">
        <f>=HYPERLINK("https://www.leilaoonline.com.br/lote/detalhe/329337", "EIXO COM REDUTOR E MOTOR WEG SUCATEADOS - PT4MEL0316 - LOC. GASA")</f>
      </c>
      <c r="C164" s="4" t="inlineStr">
        <is>
          <t>Vendido</t>
        </is>
      </c>
      <c r="D164" s="4" t="inlineStr">
        <is>
          <t>23</t>
        </is>
      </c>
      <c r="E164" s="5" t="inlineStr">
        <is>
          <t>13.000,00</t>
        </is>
      </c>
      <c r="F164" s="4" t="inlineStr">
        <is>
          <t>500.00</t>
        </is>
      </c>
    </row>
    <row collapsed="false" customFormat="false" customHeight="false" hidden="false" ht="12.1" outlineLevel="0" r="165">
      <c r="A165" s="5" t="s">
        <f>=HYPERLINK("https://www.leilaoonline.com.br/lote/detalhe/329338", "37271")</f>
      </c>
      <c r="B165" s="4" t="s">
        <f>=HYPERLINK("https://www.leilaoonline.com.br/lote/detalhe/329338", "CAMINHÃO SCANIA R113 E 6X4 360 (SEM MOTOR/ SEM CÂMBIO) - ANO 1993/1993 - BRANCO - FR45019 - LOC. GASA")</f>
      </c>
      <c r="C165" s="4" t="inlineStr">
        <is>
          <t>Vendido</t>
        </is>
      </c>
      <c r="D165" s="4" t="inlineStr">
        <is>
          <t>6</t>
        </is>
      </c>
      <c r="E165" s="5" t="inlineStr">
        <is>
          <t>10.000,00</t>
        </is>
      </c>
      <c r="F165" s="4" t="inlineStr">
        <is>
          <t>1000.00</t>
        </is>
      </c>
    </row>
    <row collapsed="false" customFormat="false" customHeight="false" hidden="false" ht="12.1" outlineLevel="0" r="166">
      <c r="A166" s="5" t="s">
        <f>=HYPERLINK("https://www.leilaoonline.com.br/lote/detalhe/329339", "37272")</f>
      </c>
      <c r="B166" s="4" t="s">
        <f>=HYPERLINK("https://www.leilaoonline.com.br/lote/detalhe/329339", "GRADE INTERMEDIÁRIA BALDAN - ANO 2013 - FR361020 - LOC. GASA")</f>
      </c>
      <c r="C166" s="4" t="inlineStr">
        <is>
          <t>Vendido</t>
        </is>
      </c>
      <c r="D166" s="4" t="inlineStr">
        <is>
          <t>4</t>
        </is>
      </c>
      <c r="E166" s="5" t="inlineStr">
        <is>
          <t>3.500,00</t>
        </is>
      </c>
      <c r="F166" s="4" t="inlineStr">
        <is>
          <t>500.00</t>
        </is>
      </c>
    </row>
    <row collapsed="false" customFormat="false" customHeight="false" hidden="false" ht="12.1" outlineLevel="0" r="167">
      <c r="A167" s="5" t="s">
        <f>=HYPERLINK("https://www.leilaoonline.com.br/lote/detalhe/329340", "37273")</f>
      </c>
      <c r="B167" s="4" t="s">
        <f>=HYPERLINK("https://www.leilaoonline.com.br/lote/detalhe/329340", "PEÇAS DE REPOSIÇÃO EQUIPAMENTOS AGRICOLA - APROXIMADAMENTE 5 TRANSPORTADORES HICOIDAL - LOC. GASA")</f>
      </c>
      <c r="C167" s="4" t="inlineStr">
        <is>
          <t>Vendido</t>
        </is>
      </c>
      <c r="D167" s="4" t="inlineStr">
        <is>
          <t>2</t>
        </is>
      </c>
      <c r="E167" s="5" t="inlineStr">
        <is>
          <t>2.500,00</t>
        </is>
      </c>
      <c r="F167" s="4" t="inlineStr">
        <is>
          <t>500.00</t>
        </is>
      </c>
    </row>
    <row collapsed="false" customFormat="false" customHeight="false" hidden="false" ht="12.1" outlineLevel="0" r="168">
      <c r="A168" s="5" t="s">
        <f>=HYPERLINK("https://www.leilaoonline.com.br/lote/detalhe/329341", "37274")</f>
      </c>
      <c r="B168" s="4" t="s">
        <f>=HYPERLINK("https://www.leilaoonline.com.br/lote/detalhe/329341", "SUCATA DE CAMINHÃO VOLKSWAGEN 31.330 CRC 6X4 (VENDA SEM DOCUMENTO) - ANO 2013 - FR88656 - LOC. GASA")</f>
      </c>
      <c r="C168" s="4" t="inlineStr">
        <is>
          <t>Vendido</t>
        </is>
      </c>
      <c r="D168" s="4" t="inlineStr">
        <is>
          <t>52</t>
        </is>
      </c>
      <c r="E168" s="5" t="inlineStr">
        <is>
          <t>61.000,00</t>
        </is>
      </c>
      <c r="F168" s="4" t="inlineStr">
        <is>
          <t>1000.00</t>
        </is>
      </c>
    </row>
    <row collapsed="false" customFormat="false" customHeight="false" hidden="false" ht="12.1" outlineLevel="0" r="169">
      <c r="A169" s="5" t="s">
        <f>=HYPERLINK("https://www.leilaoonline.com.br/lote/detalhe/329342", "37275")</f>
      </c>
      <c r="B169" s="4" t="s">
        <f>=HYPERLINK("https://www.leilaoonline.com.br/lote/detalhe/329342", "TRATOR JOHN DEERE 7225 J 4X4 225CV - ANO 2016 - FR112348 - LOC. MUNDIAL")</f>
      </c>
      <c r="C169" s="4" t="inlineStr">
        <is>
          <t>Vendido</t>
        </is>
      </c>
      <c r="D169" s="4" t="inlineStr">
        <is>
          <t>4</t>
        </is>
      </c>
      <c r="E169" s="5" t="inlineStr">
        <is>
          <t>86.000,00</t>
        </is>
      </c>
      <c r="F169" s="4" t="inlineStr">
        <is>
          <t>2000.00</t>
        </is>
      </c>
    </row>
    <row collapsed="false" customFormat="false" customHeight="false" hidden="false" ht="12.1" outlineLevel="0" r="170">
      <c r="A170" s="5" t="s">
        <f>=HYPERLINK("https://www.leilaoonline.com.br/lote/detalhe/329362", "37404")</f>
      </c>
      <c r="B170" s="4" t="s">
        <f>=HYPERLINK("https://www.leilaoonline.com.br/lote/detalhe/329362", " TRATOR VALTRA VALMET 785 4X4 - ANO 1996 - FR47326. - LOC. IPAUSSU")</f>
      </c>
      <c r="C170" s="4" t="inlineStr">
        <is>
          <t>Vendido</t>
        </is>
      </c>
      <c r="D170" s="4" t="inlineStr">
        <is>
          <t>47</t>
        </is>
      </c>
      <c r="E170" s="5" t="inlineStr">
        <is>
          <t>61.000,00</t>
        </is>
      </c>
      <c r="F170" s="4" t="inlineStr">
        <is>
          <t>1000.00</t>
        </is>
      </c>
    </row>
    <row collapsed="false" customFormat="false" customHeight="false" hidden="false" ht="12.1" outlineLevel="0" r="171">
      <c r="A171" s="5" t="s">
        <f>=HYPERLINK("https://www.leilaoonline.com.br/lote/detalhe/329363", "37405")</f>
      </c>
      <c r="B171" s="4" t="s">
        <f>=HYPERLINK("https://www.leilaoonline.com.br/lote/detalhe/329363", " TRANSBORDO ANTONIOSI 12 TON; ANO 2012. - FR47049. -  LOC.IPAUSSU")</f>
      </c>
      <c r="C171" s="4" t="inlineStr">
        <is>
          <t>Vendido</t>
        </is>
      </c>
      <c r="D171" s="4" t="inlineStr">
        <is>
          <t>1</t>
        </is>
      </c>
      <c r="E171" s="5" t="inlineStr">
        <is>
          <t>10.000,00</t>
        </is>
      </c>
      <c r="F171" s="4" t="inlineStr">
        <is>
          <t>500.00</t>
        </is>
      </c>
    </row>
    <row collapsed="false" customFormat="false" customHeight="false" hidden="false" ht="12.1" outlineLevel="0" r="172">
      <c r="A172" s="5" t="s">
        <f>=HYPERLINK("https://www.leilaoonline.com.br/lote/detalhe/329364", "37406")</f>
      </c>
      <c r="B172" s="4" t="s">
        <f>=HYPERLINK("https://www.leilaoonline.com.br/lote/detalhe/329364", " TRANSBORDO ANTONIOSI 12 TON.; ANO 2012. - FR47083. -  LOC. IPAUSSU")</f>
      </c>
      <c r="C172" s="4" t="inlineStr">
        <is>
          <t>Vendido</t>
        </is>
      </c>
      <c r="D172" s="4" t="inlineStr">
        <is>
          <t>1</t>
        </is>
      </c>
      <c r="E172" s="5" t="inlineStr">
        <is>
          <t>10.000,00</t>
        </is>
      </c>
      <c r="F172" s="4" t="inlineStr">
        <is>
          <t>1000.00</t>
        </is>
      </c>
    </row>
    <row collapsed="false" customFormat="false" customHeight="false" hidden="false" ht="12.1" outlineLevel="0" r="173">
      <c r="A173" s="5" t="s">
        <f>=HYPERLINK("https://www.leilaoonline.com.br/lote/detalhe/329365", "37407")</f>
      </c>
      <c r="B173" s="4" t="s">
        <f>=HYPERLINK("https://www.leilaoonline.com.br/lote/detalhe/329365", " TRANSBORDO ANTONIOSI 12 TON.; ANO 2012. - FR47052. -  LOC.IPAUSSU ")</f>
      </c>
      <c r="C173" s="4" t="inlineStr">
        <is>
          <t>Vendido</t>
        </is>
      </c>
      <c r="D173" s="4" t="inlineStr">
        <is>
          <t>1</t>
        </is>
      </c>
      <c r="E173" s="5" t="inlineStr">
        <is>
          <t>10.000,00</t>
        </is>
      </c>
      <c r="F173" s="4" t="inlineStr">
        <is>
          <t>1000.00</t>
        </is>
      </c>
    </row>
    <row collapsed="false" customFormat="false" customHeight="false" hidden="false" ht="12.1" outlineLevel="0" r="174">
      <c r="A174" s="5" t="s">
        <f>=HYPERLINK("https://www.leilaoonline.com.br/lote/detalhe/329367", "37408")</f>
      </c>
      <c r="B174" s="4" t="s">
        <f>=HYPERLINK("https://www.leilaoonline.com.br/lote/detalhe/329367", " MÁQUINA DE SOLDA. - LOC.IPAUSSU ")</f>
      </c>
      <c r="C174" s="4" t="inlineStr">
        <is>
          <t>Vendido</t>
        </is>
      </c>
      <c r="D174" s="4" t="inlineStr">
        <is>
          <t>1</t>
        </is>
      </c>
      <c r="E174" s="5" t="inlineStr">
        <is>
          <t>2.500,00</t>
        </is>
      </c>
      <c r="F174" s="4" t="inlineStr">
        <is>
          <t>500.00</t>
        </is>
      </c>
    </row>
    <row collapsed="false" customFormat="false" customHeight="false" hidden="false" ht="12.1" outlineLevel="0" r="175">
      <c r="A175" s="5" t="s">
        <f>=HYPERLINK("https://www.leilaoonline.com.br/lote/detalhe/329366", "37409")</f>
      </c>
      <c r="B175" s="4" t="s">
        <f>=HYPERLINK("https://www.leilaoonline.com.br/lote/detalhe/329366", " APROX. 01 MESA EM L DE ESCRITÓRIO, 01 CADEIRA GIRATÓRIA, 01 PUFF, 03 GAVETEIROS, 02 ARMARIOS. - SN. - LOC.IPAUSSU")</f>
      </c>
      <c r="C175" s="4" t="inlineStr">
        <is>
          <t>Vendido</t>
        </is>
      </c>
      <c r="D175" s="4" t="inlineStr">
        <is>
          <t>1</t>
        </is>
      </c>
      <c r="E175" s="5" t="inlineStr">
        <is>
          <t>500,00</t>
        </is>
      </c>
      <c r="F175" s="4" t="inlineStr">
        <is>
          <t>100.00</t>
        </is>
      </c>
    </row>
    <row collapsed="false" customFormat="false" customHeight="false" hidden="false" ht="12.1" outlineLevel="0" r="176">
      <c r="A176" s="5" t="s">
        <f>=HYPERLINK("https://www.leilaoonline.com.br/lote/detalhe/329369", "37410")</f>
      </c>
      <c r="B176" s="4" t="s">
        <f>=HYPERLINK("https://www.leilaoonline.com.br/lote/detalhe/329369", " APROX. 01 MESA DE REUNIÃO, 06 CADEIRAS GIRATÓRIAS. - S/N. - LOC. IPAUSSU ")</f>
      </c>
      <c r="C176" s="4" t="inlineStr">
        <is>
          <t>Vendido</t>
        </is>
      </c>
      <c r="D176" s="4" t="inlineStr">
        <is>
          <t>5</t>
        </is>
      </c>
      <c r="E176" s="5" t="inlineStr">
        <is>
          <t>1.600,00</t>
        </is>
      </c>
      <c r="F176" s="4" t="inlineStr">
        <is>
          <t>100.00</t>
        </is>
      </c>
    </row>
    <row collapsed="false" customFormat="false" customHeight="false" hidden="false" ht="12.1" outlineLevel="0" r="177">
      <c r="A177" s="5" t="s">
        <f>=HYPERLINK("https://www.leilaoonline.com.br/lote/detalhe/329370", "37411")</f>
      </c>
      <c r="B177" s="4" t="s">
        <f>=HYPERLINK("https://www.leilaoonline.com.br/lote/detalhe/329370", " APROX. 01 MESA, 05 CADEIRAS, 02 ARMÁRIOS DE AÇO,01 GAV., 01 PRATEIRA,01 ARMÁRIO, 01 FREZER, 01 MICROONDAS. - LOC. IPAUSSU ")</f>
      </c>
      <c r="C177" s="4" t="inlineStr">
        <is>
          <t>Vendido</t>
        </is>
      </c>
      <c r="D177" s="4" t="inlineStr">
        <is>
          <t>13</t>
        </is>
      </c>
      <c r="E177" s="5" t="inlineStr">
        <is>
          <t>1.700,00</t>
        </is>
      </c>
      <c r="F177" s="4" t="inlineStr">
        <is>
          <t>100.00</t>
        </is>
      </c>
    </row>
    <row collapsed="false" customFormat="false" customHeight="false" hidden="false" ht="12.1" outlineLevel="0" r="178">
      <c r="A178" s="5" t="s">
        <f>=HYPERLINK("https://www.leilaoonline.com.br/lote/detalhe/329371", "37412")</f>
      </c>
      <c r="B178" s="4" t="s">
        <f>=HYPERLINK("https://www.leilaoonline.com.br/lote/detalhe/329371", " APROX. 01 TV, 01 APARELHO DVD, CAIXAS DE SOM, SUPORTE. - LOC. IPAUSSU")</f>
      </c>
      <c r="C178" s="4" t="inlineStr">
        <is>
          <t>Vendido</t>
        </is>
      </c>
      <c r="D178" s="4" t="inlineStr">
        <is>
          <t>4</t>
        </is>
      </c>
      <c r="E178" s="5" t="inlineStr">
        <is>
          <t>800,00</t>
        </is>
      </c>
      <c r="F178" s="4" t="inlineStr">
        <is>
          <t>100.00</t>
        </is>
      </c>
    </row>
    <row collapsed="false" customFormat="false" customHeight="false" hidden="false" ht="12.1" outlineLevel="0" r="179">
      <c r="A179" s="5" t="s">
        <f>=HYPERLINK("https://www.leilaoonline.com.br/lote/detalhe/329368", "37413")</f>
      </c>
      <c r="B179" s="4" t="s">
        <f>=HYPERLINK("https://www.leilaoonline.com.br/lote/detalhe/329368", " APROX. 18 CADEIRAS, 01 MESA, 01 ARMÁRIO PEQUENO, 01 GAVETEIRO, 01 PUFF, 01 ARMÁRIO DE AÇO. - LOC. IPAUSSU")</f>
      </c>
      <c r="C179" s="4" t="inlineStr">
        <is>
          <t>Vendido</t>
        </is>
      </c>
      <c r="D179" s="4" t="inlineStr">
        <is>
          <t>17</t>
        </is>
      </c>
      <c r="E179" s="5" t="inlineStr">
        <is>
          <t>2.100,00</t>
        </is>
      </c>
      <c r="F179" s="4" t="inlineStr">
        <is>
          <t>100.00</t>
        </is>
      </c>
    </row>
    <row collapsed="false" customFormat="false" customHeight="false" hidden="false" ht="12.1" outlineLevel="0" r="180">
      <c r="A180" s="5" t="s">
        <f>=HYPERLINK("https://www.leilaoonline.com.br/lote/detalhe/329372", "37414")</f>
      </c>
      <c r="B180" s="4" t="s">
        <f>=HYPERLINK("https://www.leilaoonline.com.br/lote/detalhe/329372", " APROX. 52 CADEIRAS, 01 GAV., 01 ARMÁRIO PEQ., 01 MESA, 01 PRATELEIRA, 01 ARMÁRIO DE AÇO, 02 BANCADAS. - LOC.IPAUSSU ")</f>
      </c>
      <c r="C180" s="4" t="inlineStr">
        <is>
          <t>Vendido</t>
        </is>
      </c>
      <c r="D180" s="4" t="inlineStr">
        <is>
          <t>20</t>
        </is>
      </c>
      <c r="E180" s="5" t="inlineStr">
        <is>
          <t>2.900,00</t>
        </is>
      </c>
      <c r="F180" s="4" t="inlineStr">
        <is>
          <t>100.00</t>
        </is>
      </c>
    </row>
    <row collapsed="false" customFormat="false" customHeight="false" hidden="false" ht="12.1" outlineLevel="0" r="181">
      <c r="A181" s="5" t="s">
        <f>=HYPERLINK("https://www.leilaoonline.com.br/lote/detalhe/329374", "37415")</f>
      </c>
      <c r="B181" s="4" t="s">
        <f>=HYPERLINK("https://www.leilaoonline.com.br/lote/detalhe/329374", " APROX. 15 CADEIRAS, 09 MESAS, 01 ARMÁRIO DE AÇO GRANDE - LOC. IPAUSSU ")</f>
      </c>
      <c r="C181" s="4" t="inlineStr">
        <is>
          <t>Vendido</t>
        </is>
      </c>
      <c r="D181" s="4" t="inlineStr">
        <is>
          <t>6</t>
        </is>
      </c>
      <c r="E181" s="5" t="inlineStr">
        <is>
          <t>1.000,00</t>
        </is>
      </c>
      <c r="F181" s="4" t="inlineStr">
        <is>
          <t>100.00</t>
        </is>
      </c>
    </row>
    <row collapsed="false" customFormat="false" customHeight="false" hidden="false" ht="12.1" outlineLevel="0" r="182">
      <c r="A182" s="5" t="s">
        <f>=HYPERLINK("https://www.leilaoonline.com.br/lote/detalhe/329375", "37416")</f>
      </c>
      <c r="B182" s="4" t="s">
        <f>=HYPERLINK("https://www.leilaoonline.com.br/lote/detalhe/329375", " 01 TELA, 01 PROJETOR. - LOC. IPAUSSU ")</f>
      </c>
      <c r="C182" s="4" t="inlineStr">
        <is>
          <t>Vendido</t>
        </is>
      </c>
      <c r="D182" s="4" t="inlineStr">
        <is>
          <t>2</t>
        </is>
      </c>
      <c r="E182" s="5" t="inlineStr">
        <is>
          <t>600,00</t>
        </is>
      </c>
      <c r="F182" s="4" t="inlineStr">
        <is>
          <t>100.00</t>
        </is>
      </c>
    </row>
    <row collapsed="false" customFormat="false" customHeight="false" hidden="false" ht="12.1" outlineLevel="0" r="183">
      <c r="A183" s="5" t="s">
        <f>=HYPERLINK("https://www.leilaoonline.com.br/lote/detalhe/329373", "37417")</f>
      </c>
      <c r="B183" s="4" t="s">
        <f>=HYPERLINK("https://www.leilaoonline.com.br/lote/detalhe/329373", " APROX. 03 SUPORTES DE MADEIRA, 01 MESA ESCRITÓRIO, 01 GAVETEIRO, 01 ARMARIO GD. AÇO, 17 CADEIRAS, 12 BANCOS, 28 PUFFS, 01 BANCADA, 01 PRATELEIRA, TAPETES/ALMOFADAS, 01 PROJETOR. - LOC. IPAUSSU ")</f>
      </c>
      <c r="C183" s="4" t="inlineStr">
        <is>
          <t>Vendido</t>
        </is>
      </c>
      <c r="D183" s="4" t="inlineStr">
        <is>
          <t>5</t>
        </is>
      </c>
      <c r="E183" s="5" t="inlineStr">
        <is>
          <t>1.500,00</t>
        </is>
      </c>
      <c r="F183" s="4" t="inlineStr">
        <is>
          <t>100.00</t>
        </is>
      </c>
    </row>
    <row collapsed="false" customFormat="false" customHeight="false" hidden="false" ht="12.1" outlineLevel="0" r="184">
      <c r="A184" s="5" t="s">
        <f>=HYPERLINK("https://www.leilaoonline.com.br/lote/detalhe/329377", "37418")</f>
      </c>
      <c r="B184" s="4" t="s">
        <f>=HYPERLINK("https://www.leilaoonline.com.br/lote/detalhe/329377", " APROX. 31 CADEIRAS, 01 MESA, 02 GAVETEIROS, 01 ARMÁRIO PEQ., 01 TELA, 02 CAIXAS DE SOM, 01 PROJETOR, ADAPTADOR DE SOM. - LOC. IPAUSSU ")</f>
      </c>
      <c r="C184" s="4" t="inlineStr">
        <is>
          <t>Não vendido</t>
        </is>
      </c>
      <c r="D184" s="4" t="inlineStr">
        <is>
          <t>31</t>
        </is>
      </c>
      <c r="E184" s="5" t="inlineStr">
        <is>
          <t>3.500,00</t>
        </is>
      </c>
      <c r="F184" s="4" t="inlineStr">
        <is>
          <t>100.00</t>
        </is>
      </c>
    </row>
    <row collapsed="false" customFormat="false" customHeight="false" hidden="false" ht="12.1" outlineLevel="0" r="185">
      <c r="A185" s="5" t="s">
        <f>=HYPERLINK("https://www.leilaoonline.com.br/lote/detalhe/329379", "37419")</f>
      </c>
      <c r="B185" s="4" t="s">
        <f>=HYPERLINK("https://www.leilaoonline.com.br/lote/detalhe/329379", " APROX. 06 MESAS REFEITÓRIO, 01 BEBEDOURO. - LOC. IPAUSSU")</f>
      </c>
      <c r="C185" s="4" t="inlineStr">
        <is>
          <t>Vendido</t>
        </is>
      </c>
      <c r="D185" s="4" t="inlineStr">
        <is>
          <t>3</t>
        </is>
      </c>
      <c r="E185" s="5" t="inlineStr">
        <is>
          <t>700,00</t>
        </is>
      </c>
      <c r="F185" s="4" t="inlineStr">
        <is>
          <t>100.00</t>
        </is>
      </c>
    </row>
    <row collapsed="false" customFormat="false" customHeight="false" hidden="false" ht="12.1" outlineLevel="0" r="186">
      <c r="A186" s="5" t="s">
        <f>=HYPERLINK("https://www.leilaoonline.com.br/lote/detalhe/329376", "37420")</f>
      </c>
      <c r="B186" s="4" t="s">
        <f>=HYPERLINK("https://www.leilaoonline.com.br/lote/detalhe/329376", " APROX. 01 GELADEIRA, 02 FOGÕES, 03 MESAS, 01 FRUTEIRA, 03 CADEIRAS, UTENSILIOS DE COZINHA, 06 PRATELEIRAS, 01 LIXO PLÁSTICO GRANDE, 02 BOTIJÕES DE GÁS P45. - LOC. IPAUSSU ")</f>
      </c>
      <c r="C186" s="4" t="inlineStr">
        <is>
          <t>Vendido</t>
        </is>
      </c>
      <c r="D186" s="4" t="inlineStr">
        <is>
          <t>23</t>
        </is>
      </c>
      <c r="E186" s="5" t="inlineStr">
        <is>
          <t>2.700,00</t>
        </is>
      </c>
      <c r="F186" s="4" t="inlineStr">
        <is>
          <t>100.00</t>
        </is>
      </c>
    </row>
    <row collapsed="false" customFormat="false" customHeight="false" hidden="false" ht="12.1" outlineLevel="0" r="187">
      <c r="A187" s="5" t="s">
        <f>=HYPERLINK("https://www.leilaoonline.com.br/lote/detalhe/329378", "37421")</f>
      </c>
      <c r="B187" s="4" t="s">
        <f>=HYPERLINK("https://www.leilaoonline.com.br/lote/detalhe/329378", " APROX. 01 FOGÃO, 01 CORTADOR DE GRAMA, 01 LAVADORA DE ROUPA, 01 BEBEDOR BBL, 38 CADEIRAS DE PLÁSTICO, 10 CADEIRAS, 30 PLACAS EVA, 02 ARMÁRIOS GRANDES, 01 CARRINHO, 09 PRATELEIRAS, 02 MESAS, 10 EXTINTORES DE INCENDIO PEQ. - LOC. IPAUSSU ")</f>
      </c>
      <c r="C187" s="4" t="inlineStr">
        <is>
          <t>Vendido</t>
        </is>
      </c>
      <c r="D187" s="4" t="inlineStr">
        <is>
          <t>12</t>
        </is>
      </c>
      <c r="E187" s="5" t="inlineStr">
        <is>
          <t>1.600,00</t>
        </is>
      </c>
      <c r="F187" s="4" t="inlineStr">
        <is>
          <t>100.00</t>
        </is>
      </c>
    </row>
    <row collapsed="false" customFormat="false" customHeight="false" hidden="false" ht="12.1" outlineLevel="0" r="188">
      <c r="A188" s="5" t="s">
        <f>=HYPERLINK("https://www.leilaoonline.com.br/lote/detalhe/329380", "37422")</f>
      </c>
      <c r="B188" s="4" t="s">
        <f>=HYPERLINK("https://www.leilaoonline.com.br/lote/detalhe/329380", " 02 AR CONDICIONADOS 18.000 BTU. - LOC. IPAUSSU")</f>
      </c>
      <c r="C188" s="4" t="inlineStr">
        <is>
          <t>Não vendido</t>
        </is>
      </c>
      <c r="D188" s="4" t="inlineStr">
        <is>
          <t>1</t>
        </is>
      </c>
      <c r="E188" s="5" t="inlineStr">
        <is>
          <t>1.000,00</t>
        </is>
      </c>
      <c r="F188" s="4" t="inlineStr">
        <is>
          <t>200.00</t>
        </is>
      </c>
    </row>
    <row collapsed="false" customFormat="false" customHeight="false" hidden="false" ht="12.1" outlineLevel="0" r="189">
      <c r="A189" s="5" t="s">
        <f>=HYPERLINK("https://www.leilaoonline.com.br/lote/detalhe/329381", "37423")</f>
      </c>
      <c r="B189" s="4" t="s">
        <f>=HYPERLINK("https://www.leilaoonline.com.br/lote/detalhe/329381", " 1 AR CONDICIONADO 18.000 BTU, 1 AR CONDICIONADO 22.000 BTU. - LO.C IPAUSSU ")</f>
      </c>
      <c r="C189" s="4" t="inlineStr">
        <is>
          <t>Não vendido</t>
        </is>
      </c>
      <c r="D189" s="4" t="inlineStr">
        <is>
          <t>2</t>
        </is>
      </c>
      <c r="E189" s="5" t="inlineStr">
        <is>
          <t>1.200,00</t>
        </is>
      </c>
      <c r="F189" s="4" t="inlineStr">
        <is>
          <t>200.00</t>
        </is>
      </c>
    </row>
    <row collapsed="false" customFormat="false" customHeight="false" hidden="false" ht="12.1" outlineLevel="0" r="190">
      <c r="A190" s="5" t="s">
        <f>=HYPERLINK("https://www.leilaoonline.com.br/lote/detalhe/329382", "37424")</f>
      </c>
      <c r="B190" s="4" t="s">
        <f>=HYPERLINK("https://www.leilaoonline.com.br/lote/detalhe/329382", " 1 AR CONDICIONADO 18.000 BTU. - LOC. IPAUSSU ")</f>
      </c>
      <c r="C190" s="4" t="inlineStr">
        <is>
          <t>Não vendido</t>
        </is>
      </c>
      <c r="D190" s="4" t="inlineStr">
        <is>
          <t>1</t>
        </is>
      </c>
      <c r="E190" s="5" t="inlineStr">
        <is>
          <t>500,00</t>
        </is>
      </c>
      <c r="F190" s="4" t="inlineStr">
        <is>
          <t>100.00</t>
        </is>
      </c>
    </row>
    <row collapsed="false" customFormat="false" customHeight="false" hidden="false" ht="12.1" outlineLevel="0" r="191">
      <c r="A191" s="5" t="s">
        <f>=HYPERLINK("https://www.leilaoonline.com.br/lote/detalhe/329383", "37425")</f>
      </c>
      <c r="B191" s="4" t="s">
        <f>=HYPERLINK("https://www.leilaoonline.com.br/lote/detalhe/329383", " 2 AR CONDICIONADOS 12.000 BTU. - LOC. IPAUSSU ")</f>
      </c>
      <c r="C191" s="4" t="inlineStr">
        <is>
          <t>Não vendido</t>
        </is>
      </c>
      <c r="D191" s="4" t="inlineStr">
        <is>
          <t>4</t>
        </is>
      </c>
      <c r="E191" s="5" t="inlineStr">
        <is>
          <t>800,00</t>
        </is>
      </c>
      <c r="F191" s="4" t="inlineStr">
        <is>
          <t>100.00</t>
        </is>
      </c>
    </row>
    <row collapsed="false" customFormat="false" customHeight="false" hidden="false" ht="12.1" outlineLevel="0" r="192">
      <c r="A192" s="5" t="s">
        <f>=HYPERLINK("https://www.leilaoonline.com.br/lote/detalhe/329384", "37426")</f>
      </c>
      <c r="B192" s="4" t="s">
        <f>=HYPERLINK("https://www.leilaoonline.com.br/lote/detalhe/329384", " CAMINHÃO VW/ 8-120 EURO3; ANO 2010/2010; BRANCA. - FR96333. - LOC. BARRA")</f>
      </c>
      <c r="C192" s="4" t="inlineStr">
        <is>
          <t>Vendido</t>
        </is>
      </c>
      <c r="D192" s="4" t="inlineStr">
        <is>
          <t>56</t>
        </is>
      </c>
      <c r="E192" s="5" t="inlineStr">
        <is>
          <t>98.000,00</t>
        </is>
      </c>
      <c r="F192" s="4" t="inlineStr">
        <is>
          <t>1000.00</t>
        </is>
      </c>
    </row>
    <row collapsed="false" customFormat="false" customHeight="false" hidden="false" ht="12.1" outlineLevel="0" r="193">
      <c r="A193" s="5" t="s">
        <f>=HYPERLINK("https://www.leilaoonline.com.br/lote/detalhe/329385", "37427")</f>
      </c>
      <c r="B193" s="4" t="s">
        <f>=HYPERLINK("https://www.leilaoonline.com.br/lote/detalhe/329385", " CAMINHÃO VW/ 26-220 EURO3 WORKER; ANO 2010/2010; BRANCA; (MUNCK). - FR96619. - LOC.BARRA")</f>
      </c>
      <c r="C193" s="4" t="inlineStr">
        <is>
          <t>Vendido</t>
        </is>
      </c>
      <c r="D193" s="4" t="inlineStr">
        <is>
          <t>92</t>
        </is>
      </c>
      <c r="E193" s="5" t="inlineStr">
        <is>
          <t>141.000,00</t>
        </is>
      </c>
      <c r="F193" s="4" t="inlineStr">
        <is>
          <t>1000.00</t>
        </is>
      </c>
    </row>
    <row collapsed="false" customFormat="false" customHeight="false" hidden="false" ht="12.1" outlineLevel="0" r="194">
      <c r="A194" s="5" t="s">
        <f>=HYPERLINK("https://www.leilaoonline.com.br/lote/detalhe/329387", "37428")</f>
      </c>
      <c r="B194" s="4" t="s">
        <f>=HYPERLINK("https://www.leilaoonline.com.br/lote/detalhe/329387", " CAMINHÃO VW/31.320 CNC 6X4; ANO 2008/2008;BRANCA (CAÇAMBA). - FR360156. - LOC.BARRA")</f>
      </c>
      <c r="C194" s="4" t="inlineStr">
        <is>
          <t>Vendido</t>
        </is>
      </c>
      <c r="D194" s="4" t="inlineStr">
        <is>
          <t>122</t>
        </is>
      </c>
      <c r="E194" s="5" t="inlineStr">
        <is>
          <t>161.000,00</t>
        </is>
      </c>
      <c r="F194" s="4" t="inlineStr">
        <is>
          <t>1000.00</t>
        </is>
      </c>
    </row>
    <row collapsed="false" customFormat="false" customHeight="false" hidden="false" ht="12.1" outlineLevel="0" r="195">
      <c r="A195" s="5" t="s">
        <f>=HYPERLINK("https://www.leilaoonline.com.br/lote/detalhe/329386", "37429")</f>
      </c>
      <c r="B195" s="4" t="s">
        <f>=HYPERLINK("https://www.leilaoonline.com.br/lote/detalhe/329386", " COLHEDORA JOHN DEERE - LOC. BARRA")</f>
      </c>
      <c r="C195" s="4" t="inlineStr">
        <is>
          <t>Vendido</t>
        </is>
      </c>
      <c r="D195" s="4" t="inlineStr">
        <is>
          <t>19</t>
        </is>
      </c>
      <c r="E195" s="5" t="inlineStr">
        <is>
          <t>37.500,00</t>
        </is>
      </c>
      <c r="F195" s="4" t="inlineStr">
        <is>
          <t>1000.00</t>
        </is>
      </c>
    </row>
    <row collapsed="false" customFormat="false" customHeight="false" hidden="false" ht="12.1" outlineLevel="0" r="196">
      <c r="A196" s="5" t="s">
        <f>=HYPERLINK("https://www.leilaoonline.com.br/lote/detalhe/329388", "37430")</f>
      </c>
      <c r="B196" s="4" t="s">
        <f>=HYPERLINK("https://www.leilaoonline.com.br/lote/detalhe/329388", " MOTOR JOHN DEERE. - LOC.BARRA")</f>
      </c>
      <c r="C196" s="4" t="inlineStr">
        <is>
          <t>Vendido</t>
        </is>
      </c>
      <c r="D196" s="4" t="inlineStr">
        <is>
          <t>4</t>
        </is>
      </c>
      <c r="E196" s="5" t="inlineStr">
        <is>
          <t>2.950,00</t>
        </is>
      </c>
      <c r="F196" s="4" t="inlineStr">
        <is>
          <t>250.00</t>
        </is>
      </c>
    </row>
    <row collapsed="false" customFormat="false" customHeight="false" hidden="false" ht="12.1" outlineLevel="0" r="197">
      <c r="A197" s="5" t="s">
        <f>=HYPERLINK("https://www.leilaoonline.com.br/lote/detalhe/329389", "37431")</f>
      </c>
      <c r="B197" s="4" t="s">
        <f>=HYPERLINK("https://www.leilaoonline.com.br/lote/detalhe/329389", " MOTOR ESTACIONÁRIO X10 MWM - LOC.BARRA")</f>
      </c>
      <c r="C197" s="4" t="inlineStr">
        <is>
          <t>Vendido</t>
        </is>
      </c>
      <c r="D197" s="4" t="inlineStr">
        <is>
          <t>6</t>
        </is>
      </c>
      <c r="E197" s="5" t="inlineStr">
        <is>
          <t>4.700,00</t>
        </is>
      </c>
      <c r="F197" s="4" t="inlineStr">
        <is>
          <t>500.00</t>
        </is>
      </c>
    </row>
    <row collapsed="false" customFormat="false" customHeight="false" hidden="false" ht="12.1" outlineLevel="0" r="198">
      <c r="A198" s="5" t="s">
        <f>=HYPERLINK("https://www.leilaoonline.com.br/lote/detalhe/329391", "37432")</f>
      </c>
      <c r="B198" s="4" t="s">
        <f>=HYPERLINK("https://www.leilaoonline.com.br/lote/detalhe/329391", " MOTOR MAN 6 CILINDROS - LOC. BARRA")</f>
      </c>
      <c r="C198" s="4" t="inlineStr">
        <is>
          <t>Vendido</t>
        </is>
      </c>
      <c r="D198" s="4" t="inlineStr">
        <is>
          <t>8</t>
        </is>
      </c>
      <c r="E198" s="5" t="inlineStr">
        <is>
          <t>10.000,00</t>
        </is>
      </c>
      <c r="F198" s="4" t="inlineStr">
        <is>
          <t>500.00</t>
        </is>
      </c>
    </row>
    <row collapsed="false" customFormat="false" customHeight="false" hidden="false" ht="12.1" outlineLevel="0" r="199">
      <c r="A199" s="5" t="s">
        <f>=HYPERLINK("https://www.leilaoonline.com.br/lote/detalhe/329390", "37433")</f>
      </c>
      <c r="B199" s="4" t="s">
        <f>=HYPERLINK("https://www.leilaoonline.com.br/lote/detalhe/329390", " MOTOR CUMMINS - APLICAÇÃO VW 31-320 - LOC.BARRA")</f>
      </c>
      <c r="C199" s="4" t="inlineStr">
        <is>
          <t>Vendido</t>
        </is>
      </c>
      <c r="D199" s="4" t="inlineStr">
        <is>
          <t>16</t>
        </is>
      </c>
      <c r="E199" s="5" t="inlineStr">
        <is>
          <t>12.000,00</t>
        </is>
      </c>
      <c r="F199" s="4" t="inlineStr">
        <is>
          <t>500.00</t>
        </is>
      </c>
    </row>
    <row collapsed="false" customFormat="false" customHeight="false" hidden="false" ht="12.1" outlineLevel="0" r="200">
      <c r="A200" s="5" t="s">
        <f>=HYPERLINK("https://www.leilaoonline.com.br/lote/detalhe/329393", "37434")</f>
      </c>
      <c r="B200" s="4" t="s">
        <f>=HYPERLINK("https://www.leilaoonline.com.br/lote/detalhe/329393", " MOTOR ESTACIONÁRIO PERKINS - LOC. BARRA")</f>
      </c>
      <c r="C200" s="4" t="inlineStr">
        <is>
          <t>Vendido</t>
        </is>
      </c>
      <c r="D200" s="4" t="inlineStr">
        <is>
          <t>12</t>
        </is>
      </c>
      <c r="E200" s="5" t="inlineStr">
        <is>
          <t>4.500,00</t>
        </is>
      </c>
      <c r="F200" s="4" t="inlineStr">
        <is>
          <t>250.00</t>
        </is>
      </c>
    </row>
    <row collapsed="false" customFormat="false" customHeight="false" hidden="false" ht="12.1" outlineLevel="0" r="201">
      <c r="A201" s="5" t="s">
        <f>=HYPERLINK("https://www.leilaoonline.com.br/lote/detalhe/329392", "37435")</f>
      </c>
      <c r="B201" s="4" t="s">
        <f>=HYPERLINK("https://www.leilaoonline.com.br/lote/detalhe/329392", " MOTOR MERCEDES 366 - LOC. BARRA")</f>
      </c>
      <c r="C201" s="4" t="inlineStr">
        <is>
          <t>Vendido</t>
        </is>
      </c>
      <c r="D201" s="4" t="inlineStr">
        <is>
          <t>28</t>
        </is>
      </c>
      <c r="E201" s="5" t="inlineStr">
        <is>
          <t>15.900,00</t>
        </is>
      </c>
      <c r="F201" s="4" t="inlineStr">
        <is>
          <t>500.00</t>
        </is>
      </c>
    </row>
    <row collapsed="false" customFormat="false" customHeight="false" hidden="false" ht="12.1" outlineLevel="0" r="202">
      <c r="A202" s="5" t="s">
        <f>=HYPERLINK("https://www.leilaoonline.com.br/lote/detalhe/329395", "37436")</f>
      </c>
      <c r="B202" s="4" t="s">
        <f>=HYPERLINK("https://www.leilaoonline.com.br/lote/detalhe/329395", " MOTOR CASE APLICAÇÃO TRATOR MX260 - LOC. BARRA")</f>
      </c>
      <c r="C202" s="4" t="inlineStr">
        <is>
          <t>Não vendido</t>
        </is>
      </c>
      <c r="D202" s="4" t="inlineStr">
        <is>
          <t>19</t>
        </is>
      </c>
      <c r="E202" s="5" t="inlineStr">
        <is>
          <t>7.000,00</t>
        </is>
      </c>
      <c r="F202" s="4" t="inlineStr">
        <is>
          <t>250.00</t>
        </is>
      </c>
    </row>
    <row collapsed="false" customFormat="false" customHeight="false" hidden="false" ht="12.1" outlineLevel="0" r="203">
      <c r="A203" s="5" t="s">
        <f>=HYPERLINK("https://www.leilaoonline.com.br/lote/detalhe/329396", "37437")</f>
      </c>
      <c r="B203" s="4" t="s">
        <f>=HYPERLINK("https://www.leilaoonline.com.br/lote/detalhe/329396", " MOTOR JOHN DEERE COLHEDORA - LOC.BARRA")</f>
      </c>
      <c r="C203" s="4" t="inlineStr">
        <is>
          <t>Vendido</t>
        </is>
      </c>
      <c r="D203" s="4" t="inlineStr">
        <is>
          <t>10</t>
        </is>
      </c>
      <c r="E203" s="5" t="inlineStr">
        <is>
          <t>7.700,00</t>
        </is>
      </c>
      <c r="F203" s="4" t="inlineStr">
        <is>
          <t>500.00</t>
        </is>
      </c>
    </row>
    <row collapsed="false" customFormat="false" customHeight="false" hidden="false" ht="12.1" outlineLevel="0" r="204">
      <c r="A204" s="5" t="s">
        <f>=HYPERLINK("https://www.leilaoonline.com.br/lote/detalhe/329397", "37438")</f>
      </c>
      <c r="B204" s="4" t="s">
        <f>=HYPERLINK("https://www.leilaoonline.com.br/lote/detalhe/329397", " MOTOR CASE APLICAÇÃO 8810 8800 -LOC. BARRA")</f>
      </c>
      <c r="C204" s="4" t="inlineStr">
        <is>
          <t>Não vendido</t>
        </is>
      </c>
      <c r="D204" s="4" t="inlineStr">
        <is>
          <t>7</t>
        </is>
      </c>
      <c r="E204" s="5" t="inlineStr">
        <is>
          <t>6.500,00</t>
        </is>
      </c>
      <c r="F204" s="4" t="inlineStr">
        <is>
          <t>500.00</t>
        </is>
      </c>
    </row>
    <row collapsed="false" customFormat="false" customHeight="false" hidden="false" ht="12.1" outlineLevel="0" r="205">
      <c r="A205" s="5" t="s">
        <f>=HYPERLINK("https://www.leilaoonline.com.br/lote/detalhe/329399", "37439")</f>
      </c>
      <c r="B205" s="4" t="s">
        <f>=HYPERLINK("https://www.leilaoonline.com.br/lote/detalhe/329399", " MOTOR JOHN DEERE APLICAÇÃO COLHEDORA 3522 - LOC. BARRA")</f>
      </c>
      <c r="C205" s="4" t="inlineStr">
        <is>
          <t>Vendido</t>
        </is>
      </c>
      <c r="D205" s="4" t="inlineStr">
        <is>
          <t>12</t>
        </is>
      </c>
      <c r="E205" s="5" t="inlineStr">
        <is>
          <t>8.900,00</t>
        </is>
      </c>
      <c r="F205" s="4" t="inlineStr">
        <is>
          <t>500.00</t>
        </is>
      </c>
    </row>
    <row collapsed="false" customFormat="false" customHeight="false" hidden="false" ht="12.1" outlineLevel="0" r="206">
      <c r="A206" s="5" t="s">
        <f>=HYPERLINK("https://www.leilaoonline.com.br/lote/detalhe/329400", "37440")</f>
      </c>
      <c r="B206" s="4" t="s">
        <f>=HYPERLINK("https://www.leilaoonline.com.br/lote/detalhe/329400", " MOTOR VW APLICAÇÃO CAMINHÃO 15-180 - LOC. BARRA")</f>
      </c>
      <c r="C206" s="4" t="inlineStr">
        <is>
          <t>Não vendido</t>
        </is>
      </c>
      <c r="D206" s="4" t="inlineStr">
        <is>
          <t>6</t>
        </is>
      </c>
      <c r="E206" s="5" t="inlineStr">
        <is>
          <t>4.500,00</t>
        </is>
      </c>
      <c r="F206" s="4" t="inlineStr">
        <is>
          <t>500.00</t>
        </is>
      </c>
    </row>
    <row collapsed="false" customFormat="false" customHeight="false" hidden="false" ht="12.1" outlineLevel="0" r="207">
      <c r="A207" s="5" t="s">
        <f>=HYPERLINK("https://www.leilaoonline.com.br/lote/detalhe/329402", "37441")</f>
      </c>
      <c r="B207" s="4" t="s">
        <f>=HYPERLINK("https://www.leilaoonline.com.br/lote/detalhe/329402", " MOTOR ESTACIONÁRIO MOTO BOMBA - LOC. BARRA")</f>
      </c>
      <c r="C207" s="4" t="inlineStr">
        <is>
          <t>Não vendido</t>
        </is>
      </c>
      <c r="D207" s="4" t="inlineStr">
        <is>
          <t>5</t>
        </is>
      </c>
      <c r="E207" s="5" t="inlineStr">
        <is>
          <t>2.000,00</t>
        </is>
      </c>
      <c r="F207" s="4" t="inlineStr">
        <is>
          <t>250.00</t>
        </is>
      </c>
    </row>
    <row collapsed="false" customFormat="false" customHeight="false" hidden="false" ht="12.1" outlineLevel="0" r="208">
      <c r="A208" s="5" t="s">
        <f>=HYPERLINK("https://www.leilaoonline.com.br/lote/detalhe/329405", "37443")</f>
      </c>
      <c r="B208" s="4" t="s">
        <f>=HYPERLINK("https://www.leilaoonline.com.br/lote/detalhe/329405", " CAMINHÃO M.BENZ/L 2325; ANO 1991/1992; BRANCA; (TANQUE). - FR43002. - LOC. DIAMANTE")</f>
      </c>
      <c r="C208" s="4" t="inlineStr">
        <is>
          <t>Vendido</t>
        </is>
      </c>
      <c r="D208" s="4" t="inlineStr">
        <is>
          <t>83</t>
        </is>
      </c>
      <c r="E208" s="5" t="inlineStr">
        <is>
          <t>117.000,00</t>
        </is>
      </c>
      <c r="F208" s="4" t="inlineStr">
        <is>
          <t>1000.00</t>
        </is>
      </c>
    </row>
    <row collapsed="false" customFormat="false" customHeight="false" hidden="false" ht="12.1" outlineLevel="0" r="209">
      <c r="A209" s="5" t="s">
        <f>=HYPERLINK("https://www.leilaoonline.com.br/lote/detalhe/329406", "37444")</f>
      </c>
      <c r="B209" s="4" t="s">
        <f>=HYPERLINK("https://www.leilaoonline.com.br/lote/detalhe/329406", " SUCATA DE BORRACHA, PESO ESTIMADO 2 TONELADAS - (VENDA POR KG) - LOC. DIAMANTE ")</f>
      </c>
      <c r="C209" s="4" t="inlineStr">
        <is>
          <t>Vendido</t>
        </is>
      </c>
      <c r="D209" s="4" t="inlineStr">
        <is>
          <t>4</t>
        </is>
      </c>
      <c r="E209" s="5" t="inlineStr">
        <is>
          <t>2.400,00</t>
        </is>
      </c>
      <c r="F209" s="4" t="inlineStr">
        <is>
          <t>0.10</t>
        </is>
      </c>
    </row>
    <row collapsed="false" customFormat="false" customHeight="false" hidden="false" ht="12.1" outlineLevel="0" r="210">
      <c r="A210" s="5" t="s">
        <f>=HYPERLINK("https://www.leilaoonline.com.br/lote/detalhe/329407", "37445")</f>
      </c>
      <c r="B210" s="4" t="s">
        <f>=HYPERLINK("https://www.leilaoonline.com.br/lote/detalhe/329407", " 02 BOMBAS, 01  MANGUEIRA, 02 ESMERIL, 01 FILTRO DE AGUA. - LOC. DIAMANTE")</f>
      </c>
      <c r="C210" s="4" t="inlineStr">
        <is>
          <t>Vendido</t>
        </is>
      </c>
      <c r="D210" s="4" t="inlineStr">
        <is>
          <t>1</t>
        </is>
      </c>
      <c r="E210" s="5" t="inlineStr">
        <is>
          <t>1.000,00</t>
        </is>
      </c>
      <c r="F210" s="4" t="inlineStr">
        <is>
          <t>200.00</t>
        </is>
      </c>
    </row>
    <row collapsed="false" customFormat="false" customHeight="false" hidden="false" ht="12.1" outlineLevel="0" r="211">
      <c r="A211" s="5" t="s">
        <f>=HYPERLINK("https://www.leilaoonline.com.br/lote/detalhe/329394", "37446")</f>
      </c>
      <c r="B211" s="4" t="s">
        <f>=HYPERLINK("https://www.leilaoonline.com.br/lote/detalhe/329394", " REBOQUE RODOVIARIA; ANO 1984/1984; AZUL (TANQUE). - FR96563. - LOC. BARRA ")</f>
      </c>
      <c r="C211" s="4" t="inlineStr">
        <is>
          <t>Não vendido</t>
        </is>
      </c>
      <c r="D211" s="4" t="inlineStr">
        <is>
          <t>18</t>
        </is>
      </c>
      <c r="E211" s="5" t="inlineStr">
        <is>
          <t>17.500,00</t>
        </is>
      </c>
      <c r="F211" s="4" t="inlineStr">
        <is>
          <t>500.00</t>
        </is>
      </c>
    </row>
    <row collapsed="false" customFormat="false" customHeight="false" hidden="false" ht="12.1" outlineLevel="0" r="212">
      <c r="A212" s="5" t="s">
        <f>=HYPERLINK("https://www.leilaoonline.com.br/lote/detalhe/329408", "37447")</f>
      </c>
      <c r="B212" s="4" t="s">
        <f>=HYPERLINK("https://www.leilaoonline.com.br/lote/detalhe/329408", " APROX. 18 PRATELEIRAS. - LOC. BARRA ")</f>
      </c>
      <c r="C212" s="4" t="inlineStr">
        <is>
          <t>Vendido</t>
        </is>
      </c>
      <c r="D212" s="4" t="inlineStr">
        <is>
          <t>13</t>
        </is>
      </c>
      <c r="E212" s="5" t="inlineStr">
        <is>
          <t>1.700,00</t>
        </is>
      </c>
      <c r="F212" s="4" t="inlineStr">
        <is>
          <t>100.00</t>
        </is>
      </c>
    </row>
    <row collapsed="false" customFormat="false" customHeight="false" hidden="false" ht="12.1" outlineLevel="0" r="213">
      <c r="A213" s="5" t="s">
        <f>=HYPERLINK("https://www.leilaoonline.com.br/lote/detalhe/329412", "37448")</f>
      </c>
      <c r="B213" s="4" t="s">
        <f>=HYPERLINK("https://www.leilaoonline.com.br/lote/detalhe/329412", " APROX. 09 ARMÁRIOS GRANDES DE AÇO. - LOC. BARRA ")</f>
      </c>
      <c r="C213" s="4" t="inlineStr">
        <is>
          <t>Vendido</t>
        </is>
      </c>
      <c r="D213" s="4" t="inlineStr">
        <is>
          <t>22</t>
        </is>
      </c>
      <c r="E213" s="5" t="inlineStr">
        <is>
          <t>2.700,00</t>
        </is>
      </c>
      <c r="F213" s="4" t="inlineStr">
        <is>
          <t>100.00</t>
        </is>
      </c>
    </row>
    <row collapsed="false" customFormat="false" customHeight="false" hidden="false" ht="12.1" outlineLevel="0" r="214">
      <c r="A214" s="5" t="s">
        <f>=HYPERLINK("https://www.leilaoonline.com.br/lote/detalhe/329413", "37449")</f>
      </c>
      <c r="B214" s="4" t="s">
        <f>=HYPERLINK("https://www.leilaoonline.com.br/lote/detalhe/329413", " APROX. 50 CADEIRAS, 04 CADEIRAS DE COZINHA, 15 CADEIRAS ESTOFADAS FIXAS, 03 LONGARINAS 3 LUG, 02 ARMARIOS, 01 FORNO INDUSTRIAL, 01 BEBEDOURO, 24 CAIXAS DE ISPOR . - LOC. BARRA ")</f>
      </c>
      <c r="C214" s="4" t="inlineStr">
        <is>
          <t>Não vendido</t>
        </is>
      </c>
      <c r="D214" s="4" t="inlineStr">
        <is>
          <t>0</t>
        </is>
      </c>
      <c r="E214" s="5" t="inlineStr">
        <is>
          <t>500,00</t>
        </is>
      </c>
      <c r="F214" s="4" t="inlineStr">
        <is>
          <t>100.00</t>
        </is>
      </c>
    </row>
    <row collapsed="false" customFormat="false" customHeight="false" hidden="false" ht="12.1" outlineLevel="0" r="215">
      <c r="A215" s="5" t="s">
        <f>=HYPERLINK("https://www.leilaoonline.com.br/lote/detalhe/329851", "37450")</f>
      </c>
      <c r="B215" s="4" t="s">
        <f>=HYPERLINK("https://www.leilaoonline.com.br/lote/detalhe/329851", "ITENS DIVERSOS: ARMÁRIOS DE AÇO, PRATELEIRAS DE AÇO, GAVETEIROS DE MDF. - (VEJA DESCRITIVO DE ITENS) - LOC. BARRA-IGARAÇU ")</f>
      </c>
      <c r="C215" s="4" t="inlineStr">
        <is>
          <t>Vendido</t>
        </is>
      </c>
      <c r="D215" s="4" t="inlineStr">
        <is>
          <t>18</t>
        </is>
      </c>
      <c r="E215" s="5" t="inlineStr">
        <is>
          <t>2.200,00</t>
        </is>
      </c>
      <c r="F215" s="4" t="inlineStr">
        <is>
          <t>100.00</t>
        </is>
      </c>
    </row>
    <row collapsed="false" customFormat="false" customHeight="false" hidden="false" ht="12.1" outlineLevel="0" r="216">
      <c r="A216" s="5" t="s">
        <f>=HYPERLINK("https://www.leilaoonline.com.br/lote/detalhe/329852", "37451")</f>
      </c>
      <c r="B216" s="4" t="s">
        <f>=HYPERLINK("https://www.leilaoonline.com.br/lote/detalhe/329852", "ITENS DIVERSOS: IMPRESSORA HP, CAIXA DE SOM AMPLIFICADA, RACK DE PAREDE - (VEJA DESCRITIVO DE ITENS) - LOC. BARRA-IGARAÇÚ")</f>
      </c>
      <c r="C216" s="4" t="inlineStr">
        <is>
          <t>Não vendido</t>
        </is>
      </c>
      <c r="D216" s="4" t="inlineStr">
        <is>
          <t>0</t>
        </is>
      </c>
      <c r="E216" s="5" t="inlineStr">
        <is>
          <t>500,00</t>
        </is>
      </c>
      <c r="F216" s="4" t="inlineStr">
        <is>
          <t>100.00</t>
        </is>
      </c>
    </row>
    <row collapsed="false" customFormat="false" customHeight="false" hidden="false" ht="12.1" outlineLevel="0" r="217">
      <c r="A217" s="5" t="s">
        <f>=HYPERLINK("https://www.leilaoonline.com.br/lote/detalhe/329853", "37452")</f>
      </c>
      <c r="B217" s="4" t="s">
        <f>=HYPERLINK("https://www.leilaoonline.com.br/lote/detalhe/329853", "ITENS DIVERSOS: CADEIRA DE ESCRITÓRIO, ARMÁRIO MDF, MESA MULTIUSO - (VEJA DESCRITIVO DE ITENS) - LOC. BARRA- IGARAÇÚ")</f>
      </c>
      <c r="C217" s="4" t="inlineStr">
        <is>
          <t>Não vendido</t>
        </is>
      </c>
      <c r="D217" s="4" t="inlineStr">
        <is>
          <t>0</t>
        </is>
      </c>
      <c r="E217" s="5" t="inlineStr">
        <is>
          <t>500,00</t>
        </is>
      </c>
      <c r="F217" s="4" t="inlineStr">
        <is>
          <t>100.00</t>
        </is>
      </c>
    </row>
    <row collapsed="false" customFormat="false" customHeight="false" hidden="false" ht="12.1" outlineLevel="0" r="218">
      <c r="A218" s="5" t="s">
        <f>=HYPERLINK("https://www.leilaoonline.com.br/lote/detalhe/329850", "37453")</f>
      </c>
      <c r="B218" s="4" t="s">
        <f>=HYPERLINK("https://www.leilaoonline.com.br/lote/detalhe/329850", "09 ITENS DIVERSOS DE SOM. - (VEJA DESCRITIVO DE ITENS)  - LOC. BARRA-IGARAÇÚ")</f>
      </c>
      <c r="C218" s="4" t="inlineStr">
        <is>
          <t>Não vendido</t>
        </is>
      </c>
      <c r="D218" s="4" t="inlineStr">
        <is>
          <t>0</t>
        </is>
      </c>
      <c r="E218" s="5" t="inlineStr">
        <is>
          <t>500,00</t>
        </is>
      </c>
      <c r="F218" s="4" t="inlineStr">
        <is>
          <t>100.00</t>
        </is>
      </c>
    </row>
    <row collapsed="false" customFormat="false" customHeight="false" hidden="false" ht="12.1" outlineLevel="0" r="219">
      <c r="A219" s="5" t="s">
        <f>=HYPERLINK("https://www.leilaoonline.com.br/lote/detalhe/329410", "37454")</f>
      </c>
      <c r="B219" s="4" t="s">
        <f>=HYPERLINK("https://www.leilaoonline.com.br/lote/detalhe/329410", " HILO TOMBADOR, CAP. 27 TON. COM AQUECIMENTO (REDUTOR, TAMBORES E MOTOR), PAINEL TRANSFORMADOR - LOC. BOM RETIRO ")</f>
      </c>
      <c r="C219" s="4" t="inlineStr">
        <is>
          <t>Não vendido</t>
        </is>
      </c>
      <c r="D219" s="4" t="inlineStr">
        <is>
          <t>5</t>
        </is>
      </c>
      <c r="E219" s="5" t="inlineStr">
        <is>
          <t>13.500,00</t>
        </is>
      </c>
      <c r="F219" s="4" t="inlineStr">
        <is>
          <t>1000.00</t>
        </is>
      </c>
    </row>
    <row collapsed="false" customFormat="false" customHeight="false" hidden="false" ht="12.1" outlineLevel="0" r="220">
      <c r="A220" s="5" t="s">
        <f>=HYPERLINK("https://www.leilaoonline.com.br/lote/detalhe/329415", "37458")</f>
      </c>
      <c r="B220" s="4" t="s">
        <f>=HYPERLINK("https://www.leilaoonline.com.br/lote/detalhe/329415", " APROX. 8 CAMISA DE MOENDA, PESO ESTIMADO 50 TON. - LOC. BOM RETIRO ")</f>
      </c>
      <c r="C220" s="4" t="inlineStr">
        <is>
          <t>Não vendido</t>
        </is>
      </c>
      <c r="D220" s="4" t="inlineStr">
        <is>
          <t>18</t>
        </is>
      </c>
      <c r="E220" s="5" t="inlineStr">
        <is>
          <t>35.000,00</t>
        </is>
      </c>
      <c r="F220" s="4" t="inlineStr">
        <is>
          <t>1000.00</t>
        </is>
      </c>
    </row>
    <row collapsed="false" customFormat="false" customHeight="false" hidden="false" ht="12.1" outlineLevel="0" r="221">
      <c r="A221" s="5" t="s">
        <f>=HYPERLINK("https://www.leilaoonline.com.br/lote/detalhe/329398", "37459")</f>
      </c>
      <c r="B221" s="4" t="s">
        <f>=HYPERLINK("https://www.leilaoonline.com.br/lote/detalhe/329398", "03 VOLANDEIRAS, PESO ESTIMADO 30 TON. - LOC. BOM RETIRO ")</f>
      </c>
      <c r="C221" s="4" t="inlineStr">
        <is>
          <t>Não vendido</t>
        </is>
      </c>
      <c r="D221" s="4" t="inlineStr">
        <is>
          <t>6</t>
        </is>
      </c>
      <c r="E221" s="5" t="inlineStr">
        <is>
          <t>16.000,00</t>
        </is>
      </c>
      <c r="F221" s="4" t="inlineStr">
        <is>
          <t>1000.00</t>
        </is>
      </c>
    </row>
    <row collapsed="false" customFormat="false" customHeight="false" hidden="false" ht="12.1" outlineLevel="0" r="222">
      <c r="A222" s="5" t="s">
        <f>=HYPERLINK("https://www.leilaoonline.com.br/lote/detalhe/329403", "37460")</f>
      </c>
      <c r="B222" s="4" t="s">
        <f>=HYPERLINK("https://www.leilaoonline.com.br/lote/detalhe/329403", "TALISCA DE MOENDA, PESO ESTIMADO 15 TON. LOC. BOM RETIRO ")</f>
      </c>
      <c r="C222" s="4" t="inlineStr">
        <is>
          <t>Não vendido</t>
        </is>
      </c>
      <c r="D222" s="4" t="inlineStr">
        <is>
          <t>18</t>
        </is>
      </c>
      <c r="E222" s="5" t="inlineStr">
        <is>
          <t>15.500,00</t>
        </is>
      </c>
      <c r="F222" s="4" t="inlineStr">
        <is>
          <t>500.00</t>
        </is>
      </c>
    </row>
    <row collapsed="false" customFormat="false" customHeight="false" hidden="false" ht="12.1" outlineLevel="0" r="223">
      <c r="A223" s="5" t="s">
        <f>=HYPERLINK("https://www.leilaoonline.com.br/lote/detalhe/329401", "37461")</f>
      </c>
      <c r="B223" s="4" t="s">
        <f>=HYPERLINK("https://www.leilaoonline.com.br/lote/detalhe/329401", " ESTEIRA DE CANA PICADA. - PT.227152. - LOC. BOM RETIRO ")</f>
      </c>
      <c r="C223" s="4" t="inlineStr">
        <is>
          <t>Não vendido</t>
        </is>
      </c>
      <c r="D223" s="4" t="inlineStr">
        <is>
          <t>1</t>
        </is>
      </c>
      <c r="E223" s="5" t="inlineStr">
        <is>
          <t>30.000,00</t>
        </is>
      </c>
      <c r="F223" s="4" t="inlineStr">
        <is>
          <t>1000.00</t>
        </is>
      </c>
    </row>
    <row collapsed="false" customFormat="false" customHeight="false" hidden="false" ht="12.1" outlineLevel="0" r="224">
      <c r="A224" s="5" t="s">
        <f>=HYPERLINK("https://www.leilaoonline.com.br/lote/detalhe/329409", "37462")</f>
      </c>
      <c r="B224" s="4" t="s">
        <f>=HYPERLINK("https://www.leilaoonline.com.br/lote/detalhe/329409", " ESTEIRA DE CANA INTEIRA  E PONTE ROLANTE, CAP. 15 TON. - LOC. BOM RETIRO ")</f>
      </c>
      <c r="C224" s="4" t="inlineStr">
        <is>
          <t>Não vendido</t>
        </is>
      </c>
      <c r="D224" s="4" t="inlineStr">
        <is>
          <t>1</t>
        </is>
      </c>
      <c r="E224" s="5" t="inlineStr">
        <is>
          <t>50.000,00</t>
        </is>
      </c>
      <c r="F224" s="4" t="inlineStr">
        <is>
          <t>2500.00</t>
        </is>
      </c>
    </row>
    <row collapsed="false" customFormat="false" customHeight="false" hidden="false" ht="12.1" outlineLevel="0" r="225">
      <c r="A225" s="5" t="s">
        <f>=HYPERLINK("https://www.leilaoonline.com.br/lote/detalhe/329411", "37463")</f>
      </c>
      <c r="B225" s="4" t="s">
        <f>=HYPERLINK("https://www.leilaoonline.com.br/lote/detalhe/329411", "DESTILARIA /FERMENTAÇÃO COMPOSTA POR: 03 TANQUES PÉ DE CUBA, 12 DORNAS, 1 TANQUE DE MEL, 1 TANQUE DE INOX, 2 TANQUES MEDIDOR, 1 TANQUE ESPUMANTE, 1 TANQUE SODA CÁUSTICA, 1 TANQUE DE AÇO SÚLFURICO, 02 TANQUES DE ÓLEO FÚSIL; PERIFÉRICOS, ESTRUTURAS EM GERAL. -  LOC. BOM RETIRO ")</f>
      </c>
      <c r="C225" s="4" t="inlineStr">
        <is>
          <t>Não vendido</t>
        </is>
      </c>
      <c r="D225" s="4" t="inlineStr">
        <is>
          <t>1</t>
        </is>
      </c>
      <c r="E225" s="5" t="inlineStr">
        <is>
          <t>200.000,00</t>
        </is>
      </c>
      <c r="F225" s="4" t="inlineStr">
        <is>
          <t>25000.00</t>
        </is>
      </c>
    </row>
    <row collapsed="false" customFormat="false" customHeight="false" hidden="false" ht="12.1" outlineLevel="0" r="226">
      <c r="A226" s="5" t="s">
        <f>=HYPERLINK("https://www.leilaoonline.com.br/lote/detalhe/329417", "37464")</f>
      </c>
      <c r="B226" s="4" t="s">
        <f>=HYPERLINK("https://www.leilaoonline.com.br/lote/detalhe/329417", "CONJUNTO DE TORRE DE RESFRIAMENTO ALPINA. - LOC. BOM RETIRO")</f>
      </c>
      <c r="C226" s="4" t="inlineStr">
        <is>
          <t>Vendido</t>
        </is>
      </c>
      <c r="D226" s="4" t="inlineStr">
        <is>
          <t>37</t>
        </is>
      </c>
      <c r="E226" s="5" t="inlineStr">
        <is>
          <t>63.000,00</t>
        </is>
      </c>
      <c r="F226" s="4" t="inlineStr">
        <is>
          <t>1000.00</t>
        </is>
      </c>
    </row>
    <row collapsed="false" customFormat="false" customHeight="false" hidden="false" ht="12.1" outlineLevel="0" r="227">
      <c r="A227" s="5" t="s">
        <f>=HYPERLINK("https://www.leilaoonline.com.br/lote/detalhe/329416", "37465")</f>
      </c>
      <c r="B227" s="4" t="s">
        <f>=HYPERLINK("https://www.leilaoonline.com.br/lote/detalhe/329416", "EVAPORADOR 03 UNIDADES. - LOC. BOM RETIRO ")</f>
      </c>
      <c r="C227" s="4" t="inlineStr">
        <is>
          <t>Não vendido</t>
        </is>
      </c>
      <c r="D227" s="4" t="inlineStr">
        <is>
          <t>1</t>
        </is>
      </c>
      <c r="E227" s="5" t="inlineStr">
        <is>
          <t>240.000,00</t>
        </is>
      </c>
      <c r="F227" s="4" t="inlineStr">
        <is>
          <t>10000.00</t>
        </is>
      </c>
    </row>
    <row collapsed="false" customFormat="false" customHeight="false" hidden="false" ht="12.1" outlineLevel="0" r="228">
      <c r="A228" s="5" t="s">
        <f>=HYPERLINK("https://www.leilaoonline.com.br/lote/detalhe/329419", "37466")</f>
      </c>
      <c r="B228" s="4" t="s">
        <f>=HYPERLINK("https://www.leilaoonline.com.br/lote/detalhe/329419", "COZEDOR 6 UNIDADES. - LOC. BOM RETIRO")</f>
      </c>
      <c r="C228" s="4" t="inlineStr">
        <is>
          <t>Não vendido</t>
        </is>
      </c>
      <c r="D228" s="4" t="inlineStr">
        <is>
          <t>5</t>
        </is>
      </c>
      <c r="E228" s="5" t="inlineStr">
        <is>
          <t>34.000,00</t>
        </is>
      </c>
      <c r="F228" s="4" t="inlineStr">
        <is>
          <t>1000.00</t>
        </is>
      </c>
    </row>
    <row collapsed="false" customFormat="false" customHeight="false" hidden="false" ht="12.1" outlineLevel="0" r="229">
      <c r="A229" s="5" t="s">
        <f>=HYPERLINK("https://www.leilaoonline.com.br/lote/detalhe/329420", "37467")</f>
      </c>
      <c r="B229" s="4" t="s">
        <f>=HYPERLINK("https://www.leilaoonline.com.br/lote/detalhe/329420", "EVAPORADOR 02 UNIDADES. - LOC. BOM RETIRO ")</f>
      </c>
      <c r="C229" s="4" t="inlineStr">
        <is>
          <t>Não vendido</t>
        </is>
      </c>
      <c r="D229" s="4" t="inlineStr">
        <is>
          <t>1</t>
        </is>
      </c>
      <c r="E229" s="5" t="inlineStr">
        <is>
          <t>240.000,00</t>
        </is>
      </c>
      <c r="F229" s="4" t="inlineStr">
        <is>
          <t>10000.00</t>
        </is>
      </c>
    </row>
    <row collapsed="false" customFormat="false" customHeight="false" hidden="false" ht="12.1" outlineLevel="0" r="230">
      <c r="A230" s="5" t="s">
        <f>=HYPERLINK("https://www.leilaoonline.com.br/lote/detalhe/329418", "37468")</f>
      </c>
      <c r="B230" s="4" t="s">
        <f>=HYPERLINK("https://www.leilaoonline.com.br/lote/detalhe/329418", "PRÉ EVAPORADOR 03 UNIDADES. - LOC.BOM RETIRO")</f>
      </c>
      <c r="C230" s="4" t="inlineStr">
        <is>
          <t>Não vendido</t>
        </is>
      </c>
      <c r="D230" s="4" t="inlineStr">
        <is>
          <t>7</t>
        </is>
      </c>
      <c r="E230" s="5" t="inlineStr">
        <is>
          <t>25.000,00</t>
        </is>
      </c>
      <c r="F230" s="4" t="inlineStr">
        <is>
          <t>1000.00</t>
        </is>
      </c>
    </row>
    <row collapsed="false" customFormat="false" customHeight="false" hidden="false" ht="12.1" outlineLevel="0" r="231">
      <c r="A231" s="5" t="s">
        <f>=HYPERLINK("https://www.leilaoonline.com.br/lote/detalhe/329421", "37469")</f>
      </c>
      <c r="B231" s="4" t="s">
        <f>=HYPERLINK("https://www.leilaoonline.com.br/lote/detalhe/329421", "DECANTADOR 03 UNIDADES - LOC. BOM RETIRO")</f>
      </c>
      <c r="C231" s="4" t="inlineStr">
        <is>
          <t>Não vendido</t>
        </is>
      </c>
      <c r="D231" s="4" t="inlineStr">
        <is>
          <t>1</t>
        </is>
      </c>
      <c r="E231" s="5" t="inlineStr">
        <is>
          <t>15.000,00</t>
        </is>
      </c>
      <c r="F231" s="4" t="inlineStr">
        <is>
          <t>1000.00</t>
        </is>
      </c>
    </row>
    <row collapsed="false" customFormat="false" customHeight="false" hidden="false" ht="12.1" outlineLevel="0" r="232">
      <c r="A232" s="5" t="s">
        <f>=HYPERLINK("https://www.leilaoonline.com.br/lote/detalhe/329422", "37470")</f>
      </c>
      <c r="B232" s="4" t="s">
        <f>=HYPERLINK("https://www.leilaoonline.com.br/lote/detalhe/329422", "MEXEDOR DE AÇUCAR 15 UNIDADES. - LOC. BOM RETIRO ")</f>
      </c>
      <c r="C232" s="4" t="inlineStr">
        <is>
          <t>Não vendido</t>
        </is>
      </c>
      <c r="D232" s="4" t="inlineStr">
        <is>
          <t>3</t>
        </is>
      </c>
      <c r="E232" s="5" t="inlineStr">
        <is>
          <t>22.000,00</t>
        </is>
      </c>
      <c r="F232" s="4" t="inlineStr">
        <is>
          <t>1000.00</t>
        </is>
      </c>
    </row>
    <row collapsed="false" customFormat="false" customHeight="false" hidden="false" ht="12.1" outlineLevel="0" r="233">
      <c r="A233" s="5" t="s">
        <f>=HYPERLINK("https://www.leilaoonline.com.br/lote/detalhe/329424", "37471")</f>
      </c>
      <c r="B233" s="4" t="s">
        <f>=HYPERLINK("https://www.leilaoonline.com.br/lote/detalhe/329424", " CENTRIFUGA DE AÇUCAR KONT 10, 02 UNIDADES. - LOC. BOM RETIRO")</f>
      </c>
      <c r="C233" s="4" t="inlineStr">
        <is>
          <t>Não vendido</t>
        </is>
      </c>
      <c r="D233" s="4" t="inlineStr">
        <is>
          <t>1</t>
        </is>
      </c>
      <c r="E233" s="5" t="inlineStr">
        <is>
          <t>15.000,00</t>
        </is>
      </c>
      <c r="F233" s="4" t="inlineStr">
        <is>
          <t>1000.00</t>
        </is>
      </c>
    </row>
    <row collapsed="false" customFormat="false" customHeight="false" hidden="false" ht="12.1" outlineLevel="0" r="234">
      <c r="A234" s="5" t="s">
        <f>=HYPERLINK("https://www.leilaoonline.com.br/lote/detalhe/329426", "37472")</f>
      </c>
      <c r="B234" s="4" t="s">
        <f>=HYPERLINK("https://www.leilaoonline.com.br/lote/detalhe/329426", " DILUIDOR DE MAGMA  - LOC. BOM RETIRO")</f>
      </c>
      <c r="C234" s="4" t="inlineStr">
        <is>
          <t>Não vendido</t>
        </is>
      </c>
      <c r="D234" s="4" t="inlineStr">
        <is>
          <t>0</t>
        </is>
      </c>
      <c r="E234" s="5" t="inlineStr">
        <is>
          <t>5.000,00</t>
        </is>
      </c>
      <c r="F234" s="4" t="inlineStr">
        <is>
          <t>500.00</t>
        </is>
      </c>
    </row>
    <row collapsed="false" customFormat="false" customHeight="false" hidden="false" ht="12.1" outlineLevel="0" r="235">
      <c r="A235" s="5" t="s">
        <f>=HYPERLINK("https://www.leilaoonline.com.br/lote/detalhe/329427", "37473")</f>
      </c>
      <c r="B235" s="4" t="s">
        <f>=HYPERLINK("https://www.leilaoonline.com.br/lote/detalhe/329427", "MOTOR WEG , BOMBA MULTISTEEL, MOTOR EX 20CV. - PT211289. - LOC. BOM RETIRO")</f>
      </c>
      <c r="C235" s="4" t="inlineStr">
        <is>
          <t>Não vendido</t>
        </is>
      </c>
      <c r="D235" s="4" t="inlineStr">
        <is>
          <t>2</t>
        </is>
      </c>
      <c r="E235" s="5" t="inlineStr">
        <is>
          <t>1.750,00</t>
        </is>
      </c>
      <c r="F235" s="4" t="inlineStr">
        <is>
          <t>250.00</t>
        </is>
      </c>
    </row>
    <row collapsed="false" customFormat="false" customHeight="false" hidden="false" ht="12.1" outlineLevel="0" r="236">
      <c r="A236" s="5" t="s">
        <f>=HYPERLINK("https://www.leilaoonline.com.br/lote/detalhe/329428", "37474")</f>
      </c>
      <c r="B236" s="4" t="s">
        <f>=HYPERLINK("https://www.leilaoonline.com.br/lote/detalhe/329428", "VENTILADOR DE PÓ DE AÇÚCAR, LAVADOR DE PÓ DE AÇÚCAR - LOC. BOM RETIRO")</f>
      </c>
      <c r="C236" s="4" t="inlineStr">
        <is>
          <t>Não vendido</t>
        </is>
      </c>
      <c r="D236" s="4" t="inlineStr">
        <is>
          <t>1</t>
        </is>
      </c>
      <c r="E236" s="5" t="inlineStr">
        <is>
          <t>2.500,00</t>
        </is>
      </c>
      <c r="F236" s="4" t="inlineStr">
        <is>
          <t>500.00</t>
        </is>
      </c>
    </row>
    <row collapsed="false" customFormat="false" customHeight="false" hidden="false" ht="12.1" outlineLevel="0" r="237">
      <c r="A237" s="5" t="s">
        <f>=HYPERLINK("https://www.leilaoonline.com.br/lote/detalhe/329430", "37475")</f>
      </c>
      <c r="B237" s="4" t="s">
        <f>=HYPERLINK("https://www.leilaoonline.com.br/lote/detalhe/329430", " DESACERADOR 01 UNIDADE. - LOC. BOM RETIRO")</f>
      </c>
      <c r="C237" s="4" t="inlineStr">
        <is>
          <t>Não vendido</t>
        </is>
      </c>
      <c r="D237" s="4" t="inlineStr">
        <is>
          <t>20</t>
        </is>
      </c>
      <c r="E237" s="5" t="inlineStr">
        <is>
          <t>18.000,00</t>
        </is>
      </c>
      <c r="F237" s="4" t="inlineStr">
        <is>
          <t>1000.00</t>
        </is>
      </c>
    </row>
    <row collapsed="false" customFormat="false" customHeight="false" hidden="false" ht="12.1" outlineLevel="0" r="238">
      <c r="A238" s="5" t="s">
        <f>=HYPERLINK("https://www.leilaoonline.com.br/lote/detalhe/329429", "37476")</f>
      </c>
      <c r="B238" s="4" t="s">
        <f>=HYPERLINK("https://www.leilaoonline.com.br/lote/detalhe/329429", " 01 COMPRESSOR. - LOC. BOM RETIRO ")</f>
      </c>
      <c r="C238" s="4" t="inlineStr">
        <is>
          <t>Não vendido</t>
        </is>
      </c>
      <c r="D238" s="4" t="inlineStr">
        <is>
          <t>35</t>
        </is>
      </c>
      <c r="E238" s="5" t="inlineStr">
        <is>
          <t>19.500,00</t>
        </is>
      </c>
      <c r="F238" s="4" t="inlineStr">
        <is>
          <t>500.00</t>
        </is>
      </c>
    </row>
    <row collapsed="false" customFormat="false" customHeight="false" hidden="false" ht="12.1" outlineLevel="0" r="239">
      <c r="A239" s="5" t="s">
        <f>=HYPERLINK("https://www.leilaoonline.com.br/lote/detalhe/329433", "37477")</f>
      </c>
      <c r="B239" s="4" t="s">
        <f>=HYPERLINK("https://www.leilaoonline.com.br/lote/detalhe/329433", " 01 MOTOBOMBA . - LOC. BOM RETIRO ")</f>
      </c>
      <c r="C239" s="4" t="inlineStr">
        <is>
          <t>Não vendido</t>
        </is>
      </c>
      <c r="D239" s="4" t="inlineStr">
        <is>
          <t>0</t>
        </is>
      </c>
      <c r="E239" s="5" t="inlineStr">
        <is>
          <t>2.000,00</t>
        </is>
      </c>
      <c r="F239" s="4" t="inlineStr">
        <is>
          <t>500.00</t>
        </is>
      </c>
    </row>
    <row collapsed="false" customFormat="false" customHeight="false" hidden="false" ht="12.1" outlineLevel="0" r="240">
      <c r="A240" s="5" t="s">
        <f>=HYPERLINK("https://www.leilaoonline.com.br/lote/detalhe/329431", "37478")</f>
      </c>
      <c r="B240" s="4" t="s">
        <f>=HYPERLINK("https://www.leilaoonline.com.br/lote/detalhe/329431", "SUCATA DE VW/ GOL CL - ANO 1994 - AZUL - (SEM DIREITO A DOCUMENTO) . - LOC. BOM RETIRO")</f>
      </c>
      <c r="C240" s="4" t="inlineStr">
        <is>
          <t>Vendido</t>
        </is>
      </c>
      <c r="D240" s="4" t="inlineStr">
        <is>
          <t>13</t>
        </is>
      </c>
      <c r="E240" s="5" t="inlineStr">
        <is>
          <t>1.700,00</t>
        </is>
      </c>
      <c r="F240" s="4" t="inlineStr">
        <is>
          <t>100.00</t>
        </is>
      </c>
    </row>
    <row collapsed="false" customFormat="false" customHeight="false" hidden="false" ht="12.1" outlineLevel="0" r="241">
      <c r="A241" s="5" t="s">
        <f>=HYPERLINK("https://www.leilaoonline.com.br/lote/detalhe/329437", "37479")</f>
      </c>
      <c r="B241" s="4" t="s">
        <f>=HYPERLINK("https://www.leilaoonline.com.br/lote/detalhe/329437", " VW/ PARATI AMBULÂNCIA 1.8; ANO 2000/2001; BRANCA. - LOC. BOM RETIRO ")</f>
      </c>
      <c r="C241" s="4" t="inlineStr">
        <is>
          <t>Vendido</t>
        </is>
      </c>
      <c r="D241" s="4" t="inlineStr">
        <is>
          <t>3</t>
        </is>
      </c>
      <c r="E241" s="5" t="inlineStr">
        <is>
          <t>2.000,00</t>
        </is>
      </c>
      <c r="F241" s="4" t="inlineStr">
        <is>
          <t>250.00</t>
        </is>
      </c>
    </row>
    <row collapsed="false" customFormat="false" customHeight="false" hidden="false" ht="12.1" outlineLevel="0" r="242">
      <c r="A242" s="5" t="s">
        <f>=HYPERLINK("https://www.leilaoonline.com.br/lote/detalhe/329432", "37480")</f>
      </c>
      <c r="B242" s="4" t="s">
        <f>=HYPERLINK("https://www.leilaoonline.com.br/lote/detalhe/329432", "CAMINHÃO SCANIA T142 E 6X4; ANO 1986/1986; LARANJA; SERÁ VENDIDO COM DOCUMENTO E MOTOR SUCATEADO; (VENDA SOMENTE PARA COMPRADORES DO ESTADO DE SÃO PAULO) - LOC. BOM RETIRO ")</f>
      </c>
      <c r="C242" s="4" t="inlineStr">
        <is>
          <t>Vendido</t>
        </is>
      </c>
      <c r="D242" s="4" t="inlineStr">
        <is>
          <t>20</t>
        </is>
      </c>
      <c r="E242" s="5" t="inlineStr">
        <is>
          <t>24.500,00</t>
        </is>
      </c>
      <c r="F242" s="4" t="inlineStr">
        <is>
          <t>1000.00</t>
        </is>
      </c>
    </row>
    <row collapsed="false" customFormat="false" customHeight="false" hidden="false" ht="12.1" outlineLevel="0" r="243">
      <c r="A243" s="5" t="s">
        <f>=HYPERLINK("https://www.leilaoonline.com.br/lote/detalhe/329439", "37481")</f>
      </c>
      <c r="B243" s="4" t="s">
        <f>=HYPERLINK("https://www.leilaoonline.com.br/lote/detalhe/329439", " SUCATA DE VW/SAVEIRO 1.6; ANO 2001/2001 - BRANCA; (SEM DIREITO A DOCUMENTO) - LOC. BOM RETIRO")</f>
      </c>
      <c r="C243" s="4" t="inlineStr">
        <is>
          <t>Vendido</t>
        </is>
      </c>
      <c r="D243" s="4" t="inlineStr">
        <is>
          <t>15</t>
        </is>
      </c>
      <c r="E243" s="5" t="inlineStr">
        <is>
          <t>1.900,00</t>
        </is>
      </c>
      <c r="F243" s="4" t="inlineStr">
        <is>
          <t>100.00</t>
        </is>
      </c>
    </row>
    <row collapsed="false" customFormat="false" customHeight="false" hidden="false" ht="12.1" outlineLevel="0" r="244">
      <c r="A244" s="5" t="s">
        <f>=HYPERLINK("https://www.leilaoonline.com.br/lote/detalhe/329435", "37482")</f>
      </c>
      <c r="B244" s="4" t="s">
        <f>=HYPERLINK("https://www.leilaoonline.com.br/lote/detalhe/329435", " VW/SAVEIRO 1.6; ANO 2001/2001; BRANCA. - FR20050. - LOC. BOM RETIRO")</f>
      </c>
      <c r="C244" s="4" t="inlineStr">
        <is>
          <t>Vendido</t>
        </is>
      </c>
      <c r="D244" s="4" t="inlineStr">
        <is>
          <t>37</t>
        </is>
      </c>
      <c r="E244" s="5" t="inlineStr">
        <is>
          <t>13.000,00</t>
        </is>
      </c>
      <c r="F244" s="4" t="inlineStr">
        <is>
          <t>500.00</t>
        </is>
      </c>
    </row>
    <row collapsed="false" customFormat="false" customHeight="false" hidden="false" ht="12.1" outlineLevel="0" r="245">
      <c r="A245" s="5" t="s">
        <f>=HYPERLINK("https://www.leilaoonline.com.br/lote/detalhe/329440", "37483")</f>
      </c>
      <c r="B245" s="4" t="s">
        <f>=HYPERLINK("https://www.leilaoonline.com.br/lote/detalhe/329440", "VW/KOMBI; ANO 2000/2001; BRANCA; ( VENDA APENAS PARA COMPRADORES DO ESTADO DE SÃO PAULO). - LOC. BOM RETIRO ")</f>
      </c>
      <c r="C245" s="4" t="inlineStr">
        <is>
          <t>Vendido</t>
        </is>
      </c>
      <c r="D245" s="4" t="inlineStr">
        <is>
          <t>2</t>
        </is>
      </c>
      <c r="E245" s="5" t="inlineStr">
        <is>
          <t>5.250,00</t>
        </is>
      </c>
      <c r="F245" s="4" t="inlineStr">
        <is>
          <t>250.00</t>
        </is>
      </c>
    </row>
    <row collapsed="false" customFormat="false" customHeight="false" hidden="false" ht="12.1" outlineLevel="0" r="246">
      <c r="A246" s="5" t="s">
        <f>=HYPERLINK("https://www.leilaoonline.com.br/lote/detalhe/329436", "37484")</f>
      </c>
      <c r="B246" s="4" t="s">
        <f>=HYPERLINK("https://www.leilaoonline.com.br/lote/detalhe/329436", " CARRETA DE VIVÊNCIA (SR/SOUFER CFE 2E) - ANO 2012/2012 - CINZA - FR139429. - LOC. BOM RETIRO")</f>
      </c>
      <c r="C246" s="4" t="inlineStr">
        <is>
          <t>Vendido</t>
        </is>
      </c>
      <c r="D246" s="4" t="inlineStr">
        <is>
          <t>5</t>
        </is>
      </c>
      <c r="E246" s="5" t="inlineStr">
        <is>
          <t>6.500,00</t>
        </is>
      </c>
      <c r="F246" s="4" t="inlineStr">
        <is>
          <t>500.00</t>
        </is>
      </c>
    </row>
    <row collapsed="false" customFormat="false" customHeight="false" hidden="false" ht="12.1" outlineLevel="0" r="247">
      <c r="A247" s="5" t="s">
        <f>=HYPERLINK("https://www.leilaoonline.com.br/lote/detalhe/329441", "37486")</f>
      </c>
      <c r="B247" s="4" t="s">
        <f>=HYPERLINK("https://www.leilaoonline.com.br/lote/detalhe/329441", " PEÇAS AGRÍCOLAS, DIVISOR DE LINHA, MANGUEIRA, ACELERADOR. - LOC. BOM RETIRO ")</f>
      </c>
      <c r="C247" s="4" t="inlineStr">
        <is>
          <t>Não vendido</t>
        </is>
      </c>
      <c r="D247" s="4" t="inlineStr">
        <is>
          <t>0</t>
        </is>
      </c>
      <c r="E247" s="5" t="inlineStr">
        <is>
          <t>1.000,00</t>
        </is>
      </c>
      <c r="F247" s="4" t="inlineStr">
        <is>
          <t>500.00</t>
        </is>
      </c>
    </row>
    <row collapsed="false" customFormat="false" customHeight="false" hidden="false" ht="12.1" outlineLevel="0" r="248">
      <c r="A248" s="5" t="s">
        <f>=HYPERLINK("https://www.leilaoonline.com.br/lote/detalhe/329442", "37487")</f>
      </c>
      <c r="B248" s="4" t="s">
        <f>=HYPERLINK("https://www.leilaoonline.com.br/lote/detalhe/329442", "AQUECEDOR COM VÁLVULA DE SEGURANÇA: 04 UNIDADES. - PATR. 341327 - 341347 - 341335 - 341332. - LOC.BOM RETIRO ")</f>
      </c>
      <c r="C248" s="4" t="inlineStr">
        <is>
          <t>Não vendido</t>
        </is>
      </c>
      <c r="D248" s="4" t="inlineStr">
        <is>
          <t>22</t>
        </is>
      </c>
      <c r="E248" s="5" t="inlineStr">
        <is>
          <t>41.000,00</t>
        </is>
      </c>
      <c r="F248" s="4" t="inlineStr">
        <is>
          <t>1000.00</t>
        </is>
      </c>
    </row>
    <row collapsed="false" customFormat="false" customHeight="false" hidden="false" ht="12.1" outlineLevel="0" r="249">
      <c r="A249" s="5" t="s">
        <f>=HYPERLINK("https://www.leilaoonline.com.br/lote/detalhe/329443", "37488")</f>
      </c>
      <c r="B249" s="4" t="s">
        <f>=HYPERLINK("https://www.leilaoonline.com.br/lote/detalhe/329443", "FILTRO PRENSA. - LOC. BOM RETIRO ")</f>
      </c>
      <c r="C249" s="4" t="inlineStr">
        <is>
          <t>Não vendido</t>
        </is>
      </c>
      <c r="D249" s="4" t="inlineStr">
        <is>
          <t>3</t>
        </is>
      </c>
      <c r="E249" s="5" t="inlineStr">
        <is>
          <t>6.000,00</t>
        </is>
      </c>
      <c r="F249" s="4" t="inlineStr">
        <is>
          <t>500.00</t>
        </is>
      </c>
    </row>
    <row collapsed="false" customFormat="false" customHeight="false" hidden="false" ht="12.1" outlineLevel="0" r="250">
      <c r="A250" s="5" t="s">
        <f>=HYPERLINK("https://www.leilaoonline.com.br/lote/detalhe/329444", "37489")</f>
      </c>
      <c r="B250" s="4" t="s">
        <f>=HYPERLINK("https://www.leilaoonline.com.br/lote/detalhe/329444", "CALDEIRA. - LOC. BOM RETIRO ")</f>
      </c>
      <c r="C250" s="4" t="inlineStr">
        <is>
          <t>Não vendido</t>
        </is>
      </c>
      <c r="D250" s="4" t="inlineStr">
        <is>
          <t>1</t>
        </is>
      </c>
      <c r="E250" s="5" t="inlineStr">
        <is>
          <t>20.000,00</t>
        </is>
      </c>
      <c r="F250" s="4" t="inlineStr">
        <is>
          <t>1000.00</t>
        </is>
      </c>
    </row>
    <row collapsed="false" customFormat="false" customHeight="false" hidden="false" ht="12.1" outlineLevel="0" r="251">
      <c r="A251" s="5" t="s">
        <f>=HYPERLINK("https://www.leilaoonline.com.br/lote/detalhe/329446", "37490")</f>
      </c>
      <c r="B251" s="4" t="s">
        <f>=HYPERLINK("https://www.leilaoonline.com.br/lote/detalhe/329446", "MOEGA DA CAIXA DE BARRO 2 UNIDADES. - LOC. BOM RETIRO ")</f>
      </c>
      <c r="C251" s="4" t="inlineStr">
        <is>
          <t>Não vendido</t>
        </is>
      </c>
      <c r="D251" s="4" t="inlineStr">
        <is>
          <t>0</t>
        </is>
      </c>
      <c r="E251" s="5" t="inlineStr">
        <is>
          <t>5.000,00</t>
        </is>
      </c>
      <c r="F251" s="4" t="inlineStr">
        <is>
          <t>500.00</t>
        </is>
      </c>
    </row>
    <row collapsed="false" customFormat="false" customHeight="false" hidden="false" ht="12.1" outlineLevel="0" r="252">
      <c r="A252" s="5" t="s">
        <f>=HYPERLINK("https://www.leilaoonline.com.br/lote/detalhe/329447", "37492")</f>
      </c>
      <c r="B252" s="4" t="s">
        <f>=HYPERLINK("https://www.leilaoonline.com.br/lote/detalhe/329447", "SISTEMA DE SECAGEM DE AÇÚCAR: 2 ELEVADOR DE CANECA, 1 SECADOR DE AÇÚCAR, 1 ESTEIRA DE AÇÚCAR 2,5 MTS, 1 ESTEIRA DE BORRACHA, 1 MOEGA CAP 500 TON, 1 BALANÇA DE BIGBAG 2 TON COM MONOVIA , ESTRUTURAS DE SUSTENTAÇÃO E COMPONENTES - PAT.053323-211421-211422-053324-092776 - LOC. BOM RETIRO")</f>
      </c>
      <c r="C252" s="4" t="inlineStr">
        <is>
          <t>Não vendido</t>
        </is>
      </c>
      <c r="D252" s="4" t="inlineStr">
        <is>
          <t>4</t>
        </is>
      </c>
      <c r="E252" s="5" t="inlineStr">
        <is>
          <t>23.000,00</t>
        </is>
      </c>
      <c r="F252" s="4" t="inlineStr">
        <is>
          <t>1000.00</t>
        </is>
      </c>
    </row>
    <row collapsed="false" customFormat="false" customHeight="false" hidden="false" ht="12.1" outlineLevel="0" r="253">
      <c r="A253" s="5" t="s">
        <f>=HYPERLINK("https://www.leilaoonline.com.br/lote/detalhe/329448", "37493")</f>
      </c>
      <c r="B253" s="4" t="s">
        <f>=HYPERLINK("https://www.leilaoonline.com.br/lote/detalhe/329448", " CAMINHÃO VW/26-220 EURO3 WORKER; ANO 2010/2010; BRANCA (MUNCK). - FR22132. - LOC. BOM RETIRO ")</f>
      </c>
      <c r="C253" s="4" t="inlineStr">
        <is>
          <t>Não vendido</t>
        </is>
      </c>
      <c r="D253" s="4" t="inlineStr">
        <is>
          <t>128</t>
        </is>
      </c>
      <c r="E253" s="5" t="inlineStr">
        <is>
          <t>159.000,00</t>
        </is>
      </c>
      <c r="F253" s="4" t="inlineStr">
        <is>
          <t>1000.00</t>
        </is>
      </c>
    </row>
    <row collapsed="false" customFormat="false" customHeight="false" hidden="false" ht="12.1" outlineLevel="0" r="254">
      <c r="A254" s="5" t="s">
        <f>=HYPERLINK("https://www.leilaoonline.com.br/lote/detalhe/329449", "37494")</f>
      </c>
      <c r="B254" s="4" t="s">
        <f>=HYPERLINK("https://www.leilaoonline.com.br/lote/detalhe/329449", " 5 FRIGOBAR, 3 GELADEIRAS, 150 CADEIRAS PARA ANFITEATRO. - LOC. BOM RETIRO ")</f>
      </c>
      <c r="C254" s="4" t="inlineStr">
        <is>
          <t>Vendido</t>
        </is>
      </c>
      <c r="D254" s="4" t="inlineStr">
        <is>
          <t>1</t>
        </is>
      </c>
      <c r="E254" s="5" t="inlineStr">
        <is>
          <t>1.000,00</t>
        </is>
      </c>
      <c r="F254" s="4" t="inlineStr">
        <is>
          <t>500.00</t>
        </is>
      </c>
    </row>
    <row collapsed="false" customFormat="false" customHeight="false" hidden="false" ht="12.1" outlineLevel="0" r="255">
      <c r="A255" s="5" t="s">
        <f>=HYPERLINK("https://www.leilaoonline.com.br/lote/detalhe/329450", "37495")</f>
      </c>
      <c r="B255" s="4" t="s">
        <f>=HYPERLINK("https://www.leilaoonline.com.br/lote/detalhe/329450", " HILO TOMBADOR: CAPACIDADE 27 TONELADAS. - LOC. SANTA HELENA  ")</f>
      </c>
      <c r="C255" s="4" t="inlineStr">
        <is>
          <t>Não vendido</t>
        </is>
      </c>
      <c r="D255" s="4" t="inlineStr">
        <is>
          <t>0</t>
        </is>
      </c>
      <c r="E255" s="5" t="inlineStr">
        <is>
          <t>6.000,00</t>
        </is>
      </c>
      <c r="F255" s="4" t="inlineStr">
        <is>
          <t>500.00</t>
        </is>
      </c>
    </row>
    <row collapsed="false" customFormat="false" customHeight="false" hidden="false" ht="12.1" outlineLevel="0" r="256">
      <c r="A256" s="5" t="s">
        <f>=HYPERLINK("https://www.leilaoonline.com.br/lote/detalhe/329452", "37496")</f>
      </c>
      <c r="B256" s="4" t="s">
        <f>=HYPERLINK("https://www.leilaoonline.com.br/lote/detalhe/329452", "CAMISA DE MOENDA 5 UNIDADES. - LOC. SANTA HELENA  ")</f>
      </c>
      <c r="C256" s="4" t="inlineStr">
        <is>
          <t>Não vendido</t>
        </is>
      </c>
      <c r="D256" s="4" t="inlineStr">
        <is>
          <t>19</t>
        </is>
      </c>
      <c r="E256" s="5" t="inlineStr">
        <is>
          <t>28.500,00</t>
        </is>
      </c>
      <c r="F256" s="4" t="inlineStr">
        <is>
          <t>1000.00</t>
        </is>
      </c>
    </row>
    <row collapsed="false" customFormat="false" customHeight="false" hidden="false" ht="12.1" outlineLevel="0" r="257">
      <c r="A257" s="5" t="s">
        <f>=HYPERLINK("https://www.leilaoonline.com.br/lote/detalhe/329451", "37497")</f>
      </c>
      <c r="B257" s="4" t="s">
        <f>=HYPERLINK("https://www.leilaoonline.com.br/lote/detalhe/329451", "CAMISA DE MOENDA 5 UNIDADES. - LOC. SANTA HELENA  ")</f>
      </c>
      <c r="C257" s="4" t="inlineStr">
        <is>
          <t>Não vendido</t>
        </is>
      </c>
      <c r="D257" s="4" t="inlineStr">
        <is>
          <t>20</t>
        </is>
      </c>
      <c r="E257" s="5" t="inlineStr">
        <is>
          <t>26.500,00</t>
        </is>
      </c>
      <c r="F257" s="4" t="inlineStr">
        <is>
          <t>1000.00</t>
        </is>
      </c>
    </row>
    <row collapsed="false" customFormat="false" customHeight="false" hidden="false" ht="12.1" outlineLevel="0" r="258">
      <c r="A258" s="5" t="s">
        <f>=HYPERLINK("https://www.leilaoonline.com.br/lote/detalhe/329453", "37498")</f>
      </c>
      <c r="B258" s="4" t="s">
        <f>=HYPERLINK("https://www.leilaoonline.com.br/lote/detalhe/329453", "VÁLVULA 300 LIBRAS, 8 POLEGADAS 01 MOTOBOMBA. - LOC. SANTA HELENA  ")</f>
      </c>
      <c r="C258" s="4" t="inlineStr">
        <is>
          <t>Não vendido</t>
        </is>
      </c>
      <c r="D258" s="4" t="inlineStr">
        <is>
          <t>3</t>
        </is>
      </c>
      <c r="E258" s="5" t="inlineStr">
        <is>
          <t>3.500,00</t>
        </is>
      </c>
      <c r="F258" s="4" t="inlineStr">
        <is>
          <t>500.00</t>
        </is>
      </c>
    </row>
    <row collapsed="false" customFormat="false" customHeight="false" hidden="false" ht="12.1" outlineLevel="0" r="259">
      <c r="A259" s="5" t="s">
        <f>=HYPERLINK("https://www.leilaoonline.com.br/lote/detalhe/329454", "37499")</f>
      </c>
      <c r="B259" s="4" t="s">
        <f>=HYPERLINK("https://www.leilaoonline.com.br/lote/detalhe/329454", "MOTOR WEG 60CV, REDUTOR SANTIN. - LOC. SANTA HELENA  ")</f>
      </c>
      <c r="C259" s="4" t="inlineStr">
        <is>
          <t>Não vendido</t>
        </is>
      </c>
      <c r="D259" s="4" t="inlineStr">
        <is>
          <t>12</t>
        </is>
      </c>
      <c r="E259" s="5" t="inlineStr">
        <is>
          <t>5.500,00</t>
        </is>
      </c>
      <c r="F259" s="4" t="inlineStr">
        <is>
          <t>500.00</t>
        </is>
      </c>
    </row>
    <row collapsed="false" customFormat="false" customHeight="false" hidden="false" ht="12.1" outlineLevel="0" r="260">
      <c r="A260" s="5" t="s">
        <f>=HYPERLINK("https://www.leilaoonline.com.br/lote/detalhe/329214", "37530")</f>
      </c>
      <c r="B260" s="4" t="s">
        <f>=HYPERLINK("https://www.leilaoonline.com.br/lote/detalhe/329214", "CAMINHÃO M.BENZ/L 2638 6X4; ANO 2002/2002; BRANCA; (BASCULANTE). - FR120850. -  LOC. JUNQUEIRA")</f>
      </c>
      <c r="C260" s="4" t="inlineStr">
        <is>
          <t>Vendido</t>
        </is>
      </c>
      <c r="D260" s="4" t="inlineStr">
        <is>
          <t>68</t>
        </is>
      </c>
      <c r="E260" s="5" t="inlineStr">
        <is>
          <t>110.000,00</t>
        </is>
      </c>
      <c r="F260" s="4" t="inlineStr">
        <is>
          <t>1000.00</t>
        </is>
      </c>
    </row>
    <row collapsed="false" customFormat="false" customHeight="false" hidden="false" ht="12.1" outlineLevel="0" r="261">
      <c r="A261" s="5" t="s">
        <f>=HYPERLINK("https://www.leilaoonline.com.br/lote/detalhe/329564", "37532")</f>
      </c>
      <c r="B261" s="4" t="s">
        <f>=HYPERLINK("https://www.leilaoonline.com.br/lote/detalhe/329564", "CAMINHÃO VW/31280 CRM 6X4; ANO 2012/2013; BRANCA; ( BASCULANTE). - FR92358/ FR121843. - LOC. JUNQUEIRA")</f>
      </c>
      <c r="C261" s="4" t="inlineStr">
        <is>
          <t>Vendido</t>
        </is>
      </c>
      <c r="D261" s="4" t="inlineStr">
        <is>
          <t>61</t>
        </is>
      </c>
      <c r="E261" s="5" t="inlineStr">
        <is>
          <t>130.000,00</t>
        </is>
      </c>
      <c r="F261" s="4" t="inlineStr">
        <is>
          <t>1000.00</t>
        </is>
      </c>
    </row>
    <row collapsed="false" customFormat="false" customHeight="false" hidden="false" ht="12.1" outlineLevel="0" r="262">
      <c r="A262" s="5" t="s">
        <f>=HYPERLINK("https://www.leilaoonline.com.br/lote/detalhe/329565", "37533")</f>
      </c>
      <c r="B262" s="4" t="s">
        <f>=HYPERLINK("https://www.leilaoonline.com.br/lote/detalhe/329565", "CAMINHÃO VW/31.320 CLC 6X4; ANO 2008/2008; BRANCA; (BASCULANTE). - FR360155. - LOC. JUNQUEIRA ")</f>
      </c>
      <c r="C262" s="4" t="inlineStr">
        <is>
          <t>Vendido</t>
        </is>
      </c>
      <c r="D262" s="4" t="inlineStr">
        <is>
          <t>53</t>
        </is>
      </c>
      <c r="E262" s="5" t="inlineStr">
        <is>
          <t>168.000,00</t>
        </is>
      </c>
      <c r="F262" s="4" t="inlineStr">
        <is>
          <t>1000.00</t>
        </is>
      </c>
    </row>
    <row collapsed="false" customFormat="false" customHeight="false" hidden="false" ht="12.1" outlineLevel="0" r="263">
      <c r="A263" s="5" t="s">
        <f>=HYPERLINK("https://www.leilaoonline.com.br/lote/detalhe/329567", "37539")</f>
      </c>
      <c r="B263" s="4" t="s">
        <f>=HYPERLINK("https://www.leilaoonline.com.br/lote/detalhe/329567", "TRATOR VALTRA BM 110 4X4; ANO 2007. - FR11002129; E PULVERIZADOR HERBIPLUS - FR11003747- LOC. VALE DO ROSÁRIO ")</f>
      </c>
      <c r="C263" s="4" t="inlineStr">
        <is>
          <t>Vendido</t>
        </is>
      </c>
      <c r="D263" s="4" t="inlineStr">
        <is>
          <t>33</t>
        </is>
      </c>
      <c r="E263" s="5" t="inlineStr">
        <is>
          <t>70.000,00</t>
        </is>
      </c>
      <c r="F263" s="4" t="inlineStr">
        <is>
          <t>1000.00</t>
        </is>
      </c>
    </row>
    <row collapsed="false" customFormat="false" customHeight="false" hidden="false" ht="12.1" outlineLevel="0" r="264">
      <c r="A264" s="5" t="s">
        <f>=HYPERLINK("https://www.leilaoonline.com.br/lote/detalhe/329568", "37540")</f>
      </c>
      <c r="B264" s="4" t="s">
        <f>=HYPERLINK("https://www.leilaoonline.com.br/lote/detalhe/329568", "TRATOR VALTRA BM 110 4X4; ANO 2007. - FR11002130; E PULVERIZADOR - LOC. VALE DO ROSÁRIO ")</f>
      </c>
      <c r="C264" s="4" t="inlineStr">
        <is>
          <t>Vendido</t>
        </is>
      </c>
      <c r="D264" s="4" t="inlineStr">
        <is>
          <t>47</t>
        </is>
      </c>
      <c r="E264" s="5" t="inlineStr">
        <is>
          <t>87.000,00</t>
        </is>
      </c>
      <c r="F264" s="4" t="inlineStr">
        <is>
          <t>1000.00</t>
        </is>
      </c>
    </row>
    <row collapsed="false" customFormat="false" customHeight="false" hidden="false" ht="12.1" outlineLevel="0" r="265">
      <c r="A265" s="5" t="s">
        <f>=HYPERLINK("https://www.leilaoonline.com.br/lote/detalhe/329566", "37541")</f>
      </c>
      <c r="B265" s="4" t="s">
        <f>=HYPERLINK("https://www.leilaoonline.com.br/lote/detalhe/329566", "MOTOCICLETA HONDA/XR 250 TORNADO; ANO 2006/2007; PRETA. - FR92298. - LOC. JUNQUEIRA")</f>
      </c>
      <c r="C265" s="4" t="inlineStr">
        <is>
          <t>Vendido</t>
        </is>
      </c>
      <c r="D265" s="4" t="inlineStr">
        <is>
          <t>13</t>
        </is>
      </c>
      <c r="E265" s="5" t="inlineStr">
        <is>
          <t>5.000,00</t>
        </is>
      </c>
      <c r="F265" s="4" t="inlineStr">
        <is>
          <t>250.00</t>
        </is>
      </c>
    </row>
    <row collapsed="false" customFormat="false" customHeight="false" hidden="false" ht="12.1" outlineLevel="0" r="266">
      <c r="A266" s="5" t="s">
        <f>=HYPERLINK("https://www.leilaoonline.com.br/lote/detalhe/329934", "37542")</f>
      </c>
      <c r="B266" s="4" t="s">
        <f>=HYPERLINK("https://www.leilaoonline.com.br/lote/detalhe/329934", "CAMINHÃO FORD/F12000 160; ANO 1999/1999; BRANCA. - (IMPLEMENTO MUNCK MICHELETO -  FR11001114. - LOC. VALE DO ROSÁRIO ")</f>
      </c>
      <c r="C266" s="4" t="inlineStr">
        <is>
          <t>Não vendido</t>
        </is>
      </c>
      <c r="D266" s="4" t="inlineStr">
        <is>
          <t>17</t>
        </is>
      </c>
      <c r="E266" s="5" t="inlineStr">
        <is>
          <t>56.000,00</t>
        </is>
      </c>
      <c r="F266" s="4" t="inlineStr">
        <is>
          <t>1000.00</t>
        </is>
      </c>
    </row>
    <row collapsed="false" customFormat="false" customHeight="false" hidden="false" ht="12.1" outlineLevel="0" r="267">
      <c r="A267" s="5" t="s">
        <f>=HYPERLINK("https://www.leilaoonline.com.br/lote/detalhe/329456", "37600")</f>
      </c>
      <c r="B267" s="4" t="s">
        <f>=HYPERLINK("https://www.leilaoonline.com.br/lote/detalhe/329456", "MESA ALIMENTADORA 45 GRAUS, 02 UNIDADES, ESTEIRA METÁLICA. - LOC. SANTA HELENA  ")</f>
      </c>
      <c r="C267" s="4" t="inlineStr">
        <is>
          <t>Não vendido</t>
        </is>
      </c>
      <c r="D267" s="4" t="inlineStr">
        <is>
          <t>6</t>
        </is>
      </c>
      <c r="E267" s="5" t="inlineStr">
        <is>
          <t>38.000,00</t>
        </is>
      </c>
      <c r="F267" s="4" t="inlineStr">
        <is>
          <t>1000.00</t>
        </is>
      </c>
    </row>
    <row collapsed="false" customFormat="false" customHeight="false" hidden="false" ht="12.1" outlineLevel="0" r="268">
      <c r="A268" s="5" t="s">
        <f>=HYPERLINK("https://www.leilaoonline.com.br/lote/detalhe/329455", "37601")</f>
      </c>
      <c r="B268" s="4" t="s">
        <f>=HYPERLINK("https://www.leilaoonline.com.br/lote/detalhe/329455", "HILO TOMBADOR, CAPACIDADE 27 TONELADAS. - LOC. SANTA HELENA  ")</f>
      </c>
      <c r="C268" s="4" t="inlineStr">
        <is>
          <t>Não vendido</t>
        </is>
      </c>
      <c r="D268" s="4" t="inlineStr">
        <is>
          <t>23</t>
        </is>
      </c>
      <c r="E268" s="5" t="inlineStr">
        <is>
          <t>37.000,00</t>
        </is>
      </c>
      <c r="F268" s="4" t="inlineStr">
        <is>
          <t>1000.00</t>
        </is>
      </c>
    </row>
    <row collapsed="false" customFormat="false" customHeight="false" hidden="false" ht="12.1" outlineLevel="0" r="269">
      <c r="A269" s="5" t="s">
        <f>=HYPERLINK("https://www.leilaoonline.com.br/lote/detalhe/329459", "37602")</f>
      </c>
      <c r="B269" s="4" t="s">
        <f>=HYPERLINK("https://www.leilaoonline.com.br/lote/detalhe/329459", " REDUTOR NG MODELO F10 660 . - LOC. SANTA HELENA  ")</f>
      </c>
      <c r="C269" s="4" t="inlineStr">
        <is>
          <t>Não vendido</t>
        </is>
      </c>
      <c r="D269" s="4" t="inlineStr">
        <is>
          <t>2</t>
        </is>
      </c>
      <c r="E269" s="5" t="inlineStr">
        <is>
          <t>16.000,00</t>
        </is>
      </c>
      <c r="F269" s="4" t="inlineStr">
        <is>
          <t>1000.00</t>
        </is>
      </c>
    </row>
    <row collapsed="false" customFormat="false" customHeight="false" hidden="false" ht="12.1" outlineLevel="0" r="270">
      <c r="A270" s="5" t="s">
        <f>=HYPERLINK("https://www.leilaoonline.com.br/lote/detalhe/329462", "37603")</f>
      </c>
      <c r="B270" s="4" t="s">
        <f>=HYPERLINK("https://www.leilaoonline.com.br/lote/detalhe/329462", "REDUTOR NG MODELO F10 661 . - LOC. SANTA HELENA  ")</f>
      </c>
      <c r="C270" s="4" t="inlineStr">
        <is>
          <t>Não vendido</t>
        </is>
      </c>
      <c r="D270" s="4" t="inlineStr">
        <is>
          <t>2</t>
        </is>
      </c>
      <c r="E270" s="5" t="inlineStr">
        <is>
          <t>16.000,00</t>
        </is>
      </c>
      <c r="F270" s="4" t="inlineStr">
        <is>
          <t>1000.00</t>
        </is>
      </c>
    </row>
    <row collapsed="false" customFormat="false" customHeight="false" hidden="false" ht="12.1" outlineLevel="0" r="271">
      <c r="A271" s="5" t="s">
        <f>=HYPERLINK("https://www.leilaoonline.com.br/lote/detalhe/329460", "37604")</f>
      </c>
      <c r="B271" s="4" t="s">
        <f>=HYPERLINK("https://www.leilaoonline.com.br/lote/detalhe/329460", "ROSCA SEM FIM . - LOC. SANTA HELENA  ")</f>
      </c>
      <c r="C271" s="4" t="inlineStr">
        <is>
          <t>Não vendido</t>
        </is>
      </c>
      <c r="D271" s="4" t="inlineStr">
        <is>
          <t>6</t>
        </is>
      </c>
      <c r="E271" s="5" t="inlineStr">
        <is>
          <t>5.000,00</t>
        </is>
      </c>
      <c r="F271" s="4" t="inlineStr">
        <is>
          <t>500.00</t>
        </is>
      </c>
    </row>
    <row collapsed="false" customFormat="false" customHeight="false" hidden="false" ht="12.1" outlineLevel="0" r="272">
      <c r="A272" s="5" t="s">
        <f>=HYPERLINK("https://www.leilaoonline.com.br/lote/detalhe/329464", "37605")</f>
      </c>
      <c r="B272" s="4" t="s">
        <f>=HYPERLINK("https://www.leilaoonline.com.br/lote/detalhe/329464", "LOTE DE TUBOS,MATERIAL AÇO CARBONO, TUBOS DE 12 METROS ESPESSURA 3/16, DIÂMETRO 1 POLEGADA 1/2. - LOC. SANTA HELENA  ")</f>
      </c>
      <c r="C272" s="4" t="inlineStr">
        <is>
          <t>Não vendido</t>
        </is>
      </c>
      <c r="D272" s="4" t="inlineStr">
        <is>
          <t>29</t>
        </is>
      </c>
      <c r="E272" s="5" t="inlineStr">
        <is>
          <t>15.400,00</t>
        </is>
      </c>
      <c r="F272" s="4" t="inlineStr">
        <is>
          <t>500.00</t>
        </is>
      </c>
    </row>
    <row collapsed="false" customFormat="false" customHeight="false" hidden="false" ht="12.1" outlineLevel="0" r="273">
      <c r="A273" s="5" t="s">
        <f>=HYPERLINK("https://www.leilaoonline.com.br/lote/detalhe/329463", "37606")</f>
      </c>
      <c r="B273" s="4" t="s">
        <f>=HYPERLINK("https://www.leilaoonline.com.br/lote/detalhe/329463", "LUVA ACIP 032 UNIDADES, APLICAÇÃO MOENDA 78. - LOC. SANTA HELENA  ")</f>
      </c>
      <c r="C273" s="4" t="inlineStr">
        <is>
          <t>Não vendido</t>
        </is>
      </c>
      <c r="D273" s="4" t="inlineStr">
        <is>
          <t>68</t>
        </is>
      </c>
      <c r="E273" s="5" t="inlineStr">
        <is>
          <t>82.000,00</t>
        </is>
      </c>
      <c r="F273" s="4" t="inlineStr">
        <is>
          <t>1000.00</t>
        </is>
      </c>
    </row>
    <row collapsed="false" customFormat="false" customHeight="false" hidden="false" ht="12.1" outlineLevel="0" r="274">
      <c r="A274" s="5" t="s">
        <f>=HYPERLINK("https://www.leilaoonline.com.br/lote/detalhe/329466", "37607")</f>
      </c>
      <c r="B274" s="4" t="s">
        <f>=HYPERLINK("https://www.leilaoonline.com.br/lote/detalhe/329466", "ROTOR/EXAUSTOR, APLICAÇÃO CALDEIRA 68 TONELADAS . -LOC. SANTA HELENA  ")</f>
      </c>
      <c r="C274" s="4" t="inlineStr">
        <is>
          <t>Não vendido</t>
        </is>
      </c>
      <c r="D274" s="4" t="inlineStr">
        <is>
          <t>20</t>
        </is>
      </c>
      <c r="E274" s="5" t="inlineStr">
        <is>
          <t>12.000,00</t>
        </is>
      </c>
      <c r="F274" s="4" t="inlineStr">
        <is>
          <t>500.00</t>
        </is>
      </c>
    </row>
    <row collapsed="false" customFormat="false" customHeight="false" hidden="false" ht="12.1" outlineLevel="0" r="275">
      <c r="A275" s="5" t="s">
        <f>=HYPERLINK("https://www.leilaoonline.com.br/lote/detalhe/329461", "37608")</f>
      </c>
      <c r="B275" s="4" t="s">
        <f>=HYPERLINK("https://www.leilaoonline.com.br/lote/detalhe/329461", "TORNO GIRATÓRIO DE ROLO. - LOC. SANTA HELENA  ")</f>
      </c>
      <c r="C275" s="4" t="inlineStr">
        <is>
          <t>Não vendido</t>
        </is>
      </c>
      <c r="D275" s="4" t="inlineStr">
        <is>
          <t>12</t>
        </is>
      </c>
      <c r="E275" s="5" t="inlineStr">
        <is>
          <t>8.000,00</t>
        </is>
      </c>
      <c r="F275" s="4" t="inlineStr">
        <is>
          <t>500.00</t>
        </is>
      </c>
    </row>
    <row collapsed="false" customFormat="false" customHeight="false" hidden="false" ht="12.1" outlineLevel="0" r="276">
      <c r="A276" s="5" t="s">
        <f>=HYPERLINK("https://www.leilaoonline.com.br/lote/detalhe/329465", "37609")</f>
      </c>
      <c r="B276" s="4" t="s">
        <f>=HYPERLINK("https://www.leilaoonline.com.br/lote/detalhe/329465", "TORNO GIRATÓRIO DE ROLO. -  LOC. SANTA HELENA  ")</f>
      </c>
      <c r="C276" s="4" t="inlineStr">
        <is>
          <t>Não vendido</t>
        </is>
      </c>
      <c r="D276" s="4" t="inlineStr">
        <is>
          <t>4</t>
        </is>
      </c>
      <c r="E276" s="5" t="inlineStr">
        <is>
          <t>4.000,00</t>
        </is>
      </c>
      <c r="F276" s="4" t="inlineStr">
        <is>
          <t>500.00</t>
        </is>
      </c>
    </row>
    <row collapsed="false" customFormat="false" customHeight="false" hidden="false" ht="12.1" outlineLevel="0" r="277">
      <c r="A277" s="5" t="s">
        <f>=HYPERLINK("https://www.leilaoonline.com.br/lote/detalhe/329467", "37610")</f>
      </c>
      <c r="B277" s="4" t="s">
        <f>=HYPERLINK("https://www.leilaoonline.com.br/lote/detalhe/329467", "TORNO GIRATÓRIO DE ROLO. -  LOC. SANTA HELENA  ")</f>
      </c>
      <c r="C277" s="4" t="inlineStr">
        <is>
          <t>Não vendido</t>
        </is>
      </c>
      <c r="D277" s="4" t="inlineStr">
        <is>
          <t>1</t>
        </is>
      </c>
      <c r="E277" s="5" t="inlineStr">
        <is>
          <t>2.500,00</t>
        </is>
      </c>
      <c r="F277" s="4" t="inlineStr">
        <is>
          <t>500.00</t>
        </is>
      </c>
    </row>
    <row collapsed="false" customFormat="false" customHeight="false" hidden="false" ht="12.1" outlineLevel="0" r="278">
      <c r="A278" s="5" t="s">
        <f>=HYPERLINK("https://www.leilaoonline.com.br/lote/detalhe/329469", "37611")</f>
      </c>
      <c r="B278" s="4" t="s">
        <f>=HYPERLINK("https://www.leilaoonline.com.br/lote/detalhe/329469", "BOMBA DE VÁCUO . - LOC. SANTA HELENA  ")</f>
      </c>
      <c r="C278" s="4" t="inlineStr">
        <is>
          <t>Não vendido</t>
        </is>
      </c>
      <c r="D278" s="4" t="inlineStr">
        <is>
          <t>6</t>
        </is>
      </c>
      <c r="E278" s="5" t="inlineStr">
        <is>
          <t>5.000,00</t>
        </is>
      </c>
      <c r="F278" s="4" t="inlineStr">
        <is>
          <t>500.00</t>
        </is>
      </c>
    </row>
    <row collapsed="false" customFormat="false" customHeight="false" hidden="false" ht="12.1" outlineLevel="0" r="279">
      <c r="A279" s="5" t="s">
        <f>=HYPERLINK("https://www.leilaoonline.com.br/lote/detalhe/329468", "37612")</f>
      </c>
      <c r="B279" s="4" t="s">
        <f>=HYPERLINK("https://www.leilaoonline.com.br/lote/detalhe/329468", "PLACAS DE TROCADOR DE CALOR 30 UNIDADES APROX. - LOC. SANTA HELENA  ")</f>
      </c>
      <c r="C279" s="4" t="inlineStr">
        <is>
          <t>Não vendido</t>
        </is>
      </c>
      <c r="D279" s="4" t="inlineStr">
        <is>
          <t>1</t>
        </is>
      </c>
      <c r="E279" s="5" t="inlineStr">
        <is>
          <t>5.000,00</t>
        </is>
      </c>
      <c r="F279" s="4" t="inlineStr">
        <is>
          <t>500.00</t>
        </is>
      </c>
    </row>
    <row collapsed="false" customFormat="false" customHeight="false" hidden="false" ht="12.1" outlineLevel="0" r="280">
      <c r="A280" s="5" t="s">
        <f>=HYPERLINK("https://www.leilaoonline.com.br/lote/detalhe/329470", "37613")</f>
      </c>
      <c r="B280" s="4" t="s">
        <f>=HYPERLINK("https://www.leilaoonline.com.br/lote/detalhe/329470", " SISTEMA DE CANA PICADA COM HILO, CAPACIDADE HILLO 43 TONELADAS; ( FIAÇÃO ELÉTRICA NÃO FAZ PARTE DO LOTE. - LOC. SANTA HELENA   ")</f>
      </c>
      <c r="C280" s="4" t="inlineStr">
        <is>
          <t>Não vendido</t>
        </is>
      </c>
      <c r="D280" s="4" t="inlineStr">
        <is>
          <t>71</t>
        </is>
      </c>
      <c r="E280" s="5" t="inlineStr">
        <is>
          <t>111.000,00</t>
        </is>
      </c>
      <c r="F280" s="4" t="inlineStr">
        <is>
          <t>2500.00</t>
        </is>
      </c>
    </row>
    <row collapsed="false" customFormat="false" customHeight="false" hidden="false" ht="12.1" outlineLevel="0" r="281">
      <c r="A281" s="5" t="s">
        <f>=HYPERLINK("https://www.leilaoonline.com.br/lote/detalhe/329471", "37614")</f>
      </c>
      <c r="B281" s="4" t="s">
        <f>=HYPERLINK("https://www.leilaoonline.com.br/lote/detalhe/329471", " SONDA OBLÍQUA COM ESTRUTURA. - LOC. SANTA HELENA  ")</f>
      </c>
      <c r="C281" s="4" t="inlineStr">
        <is>
          <t>Não vendido</t>
        </is>
      </c>
      <c r="D281" s="4" t="inlineStr">
        <is>
          <t>19</t>
        </is>
      </c>
      <c r="E281" s="5" t="inlineStr">
        <is>
          <t>43.000,00</t>
        </is>
      </c>
      <c r="F281" s="4" t="inlineStr">
        <is>
          <t>1000.00</t>
        </is>
      </c>
    </row>
    <row collapsed="false" customFormat="false" customHeight="false" hidden="false" ht="12.1" outlineLevel="0" r="282">
      <c r="A282" s="5" t="s">
        <f>=HYPERLINK("https://www.leilaoonline.com.br/lote/detalhe/329472", "37615")</f>
      </c>
      <c r="B282" s="4" t="s">
        <f>=HYPERLINK("https://www.leilaoonline.com.br/lote/detalhe/329472", "REDUTOR ZANINI -  MODELO TA-83N. -  LOC. SANTA HELENA  ")</f>
      </c>
      <c r="C282" s="4" t="inlineStr">
        <is>
          <t>Não vendido</t>
        </is>
      </c>
      <c r="D282" s="4" t="inlineStr">
        <is>
          <t>34</t>
        </is>
      </c>
      <c r="E282" s="5" t="inlineStr">
        <is>
          <t>50.000,00</t>
        </is>
      </c>
      <c r="F282" s="4" t="inlineStr">
        <is>
          <t>1000.00</t>
        </is>
      </c>
    </row>
    <row collapsed="false" customFormat="false" customHeight="false" hidden="false" ht="12.1" outlineLevel="0" r="283">
      <c r="A283" s="5" t="s">
        <f>=HYPERLINK("https://www.leilaoonline.com.br/lote/detalhe/329473", "37616")</f>
      </c>
      <c r="B283" s="4" t="s">
        <f>=HYPERLINK("https://www.leilaoonline.com.br/lote/detalhe/329473", "BALANÇÃO DE PONTE ROLANTE CAPACIDADE 20 TONELADAS. - LOC. SANTA HELENA  ")</f>
      </c>
      <c r="C283" s="4" t="inlineStr">
        <is>
          <t>Não vendido</t>
        </is>
      </c>
      <c r="D283" s="4" t="inlineStr">
        <is>
          <t>8</t>
        </is>
      </c>
      <c r="E283" s="5" t="inlineStr">
        <is>
          <t>6.000,00</t>
        </is>
      </c>
      <c r="F283" s="4" t="inlineStr">
        <is>
          <t>500.00</t>
        </is>
      </c>
    </row>
    <row collapsed="false" customFormat="false" customHeight="false" hidden="false" ht="12.1" outlineLevel="0" r="284">
      <c r="A284" s="5" t="s">
        <f>=HYPERLINK("https://www.leilaoonline.com.br/lote/detalhe/329474", "37617")</f>
      </c>
      <c r="B284" s="4" t="s">
        <f>=HYPERLINK("https://www.leilaoonline.com.br/lote/detalhe/329474", " MOTOR ELÉTRICO 5 UNIDADES., PATR.060411 - 053584 - 060746 - 060794 - 058784. - LOC. SANTA HELENA  ")</f>
      </c>
      <c r="C284" s="4" t="inlineStr">
        <is>
          <t>Não vendido</t>
        </is>
      </c>
      <c r="D284" s="4" t="inlineStr">
        <is>
          <t>8</t>
        </is>
      </c>
      <c r="E284" s="5" t="inlineStr">
        <is>
          <t>5.500,00</t>
        </is>
      </c>
      <c r="F284" s="4" t="inlineStr">
        <is>
          <t>500.00</t>
        </is>
      </c>
    </row>
    <row collapsed="false" customFormat="false" customHeight="false" hidden="false" ht="12.1" outlineLevel="0" r="285">
      <c r="A285" s="5" t="s">
        <f>=HYPERLINK("https://www.leilaoonline.com.br/lote/detalhe/329475", "37618")</f>
      </c>
      <c r="B285" s="4" t="s">
        <f>=HYPERLINK("https://www.leilaoonline.com.br/lote/detalhe/329475", " PONTE ROLANTE CAPACIDADE 20 TONELADAS. - LOC. SANTA HELENA  ")</f>
      </c>
      <c r="C285" s="4" t="inlineStr">
        <is>
          <t>Não vendido</t>
        </is>
      </c>
      <c r="D285" s="4" t="inlineStr">
        <is>
          <t>32</t>
        </is>
      </c>
      <c r="E285" s="5" t="inlineStr">
        <is>
          <t>51.000,00</t>
        </is>
      </c>
      <c r="F285" s="4" t="inlineStr">
        <is>
          <t>1000.00</t>
        </is>
      </c>
    </row>
    <row collapsed="false" customFormat="false" customHeight="false" hidden="false" ht="12.1" outlineLevel="0" r="286">
      <c r="A286" s="5" t="s">
        <f>=HYPERLINK("https://www.leilaoonline.com.br/lote/detalhe/329423", "37619")</f>
      </c>
      <c r="B286" s="4" t="s">
        <f>=HYPERLINK("https://www.leilaoonline.com.br/lote/detalhe/329423", "MOTORES ELÉTRICOS 02 UNIDADES. - LOC. SANTA HELENA  ")</f>
      </c>
      <c r="C286" s="4" t="inlineStr">
        <is>
          <t>Não vendido</t>
        </is>
      </c>
      <c r="D286" s="4" t="inlineStr">
        <is>
          <t>14</t>
        </is>
      </c>
      <c r="E286" s="5" t="inlineStr">
        <is>
          <t>8.500,00</t>
        </is>
      </c>
      <c r="F286" s="4" t="inlineStr">
        <is>
          <t>500.00</t>
        </is>
      </c>
    </row>
    <row collapsed="false" customFormat="false" customHeight="false" hidden="false" ht="12.1" outlineLevel="0" r="287">
      <c r="A287" s="5" t="s">
        <f>=HYPERLINK("https://www.leilaoonline.com.br/lote/detalhe/329425", "37620")</f>
      </c>
      <c r="B287" s="4" t="s">
        <f>=HYPERLINK("https://www.leilaoonline.com.br/lote/detalhe/329425", "MOTOR ELÉTRICO 34 UNIDADES APROX. DIVERSOS TAMANHOS. -LOC. SANTA HELENA  ")</f>
      </c>
      <c r="C287" s="4" t="inlineStr">
        <is>
          <t>Não vendido</t>
        </is>
      </c>
      <c r="D287" s="4" t="inlineStr">
        <is>
          <t>39</t>
        </is>
      </c>
      <c r="E287" s="5" t="inlineStr">
        <is>
          <t>56.000,00</t>
        </is>
      </c>
      <c r="F287" s="4" t="inlineStr">
        <is>
          <t>1000.00</t>
        </is>
      </c>
    </row>
    <row collapsed="false" customFormat="false" customHeight="false" hidden="false" ht="12.1" outlineLevel="0" r="288">
      <c r="A288" s="5" t="s">
        <f>=HYPERLINK("https://www.leilaoonline.com.br/lote/detalhe/329434", "37621")</f>
      </c>
      <c r="B288" s="4" t="s">
        <f>=HYPERLINK("https://www.leilaoonline.com.br/lote/detalhe/329434", "MOTOR ELÉTRICO, MAQUINA DE SOLDA, 35 MOTORES E 1 MÁQUINA. -LOC. SANTA HELENA  ")</f>
      </c>
      <c r="C288" s="4" t="inlineStr">
        <is>
          <t>Não vendido</t>
        </is>
      </c>
      <c r="D288" s="4" t="inlineStr">
        <is>
          <t>40</t>
        </is>
      </c>
      <c r="E288" s="5" t="inlineStr">
        <is>
          <t>57.000,00</t>
        </is>
      </c>
      <c r="F288" s="4" t="inlineStr">
        <is>
          <t>1000.00</t>
        </is>
      </c>
    </row>
    <row collapsed="false" customFormat="false" customHeight="false" hidden="false" ht="12.1" outlineLevel="0" r="289">
      <c r="A289" s="5" t="s">
        <f>=HYPERLINK("https://www.leilaoonline.com.br/lote/detalhe/329457", "37622")</f>
      </c>
      <c r="B289" s="4" t="s">
        <f>=HYPERLINK("https://www.leilaoonline.com.br/lote/detalhe/329457", "MOTOR ELÉTRICO 25 UNIDADES, 01 MOTO REDUTOR - LOC. SANTA HELENA  ")</f>
      </c>
      <c r="C289" s="4" t="inlineStr">
        <is>
          <t>Não vendido</t>
        </is>
      </c>
      <c r="D289" s="4" t="inlineStr">
        <is>
          <t>19</t>
        </is>
      </c>
      <c r="E289" s="5" t="inlineStr">
        <is>
          <t>37.000,00</t>
        </is>
      </c>
      <c r="F289" s="4" t="inlineStr">
        <is>
          <t>1000.00</t>
        </is>
      </c>
    </row>
    <row collapsed="false" customFormat="false" customHeight="false" hidden="false" ht="12.1" outlineLevel="0" r="290">
      <c r="A290" s="5" t="s">
        <f>=HYPERLINK("https://www.leilaoonline.com.br/lote/detalhe/329458", "37623")</f>
      </c>
      <c r="B290" s="4" t="s">
        <f>=HYPERLINK("https://www.leilaoonline.com.br/lote/detalhe/329458", "MOTOR ELÉTRICO E REDUTOR 40 UNIDADES. - LOC. LOC. SANTA HELENA  ")</f>
      </c>
      <c r="C290" s="4" t="inlineStr">
        <is>
          <t>Não vendido</t>
        </is>
      </c>
      <c r="D290" s="4" t="inlineStr">
        <is>
          <t>13</t>
        </is>
      </c>
      <c r="E290" s="5" t="inlineStr">
        <is>
          <t>15.500,00</t>
        </is>
      </c>
      <c r="F290" s="4" t="inlineStr">
        <is>
          <t>1000.00</t>
        </is>
      </c>
    </row>
    <row collapsed="false" customFormat="false" customHeight="false" hidden="false" ht="12.1" outlineLevel="0" r="291">
      <c r="A291" s="5" t="s">
        <f>=HYPERLINK("https://www.leilaoonline.com.br/lote/detalhe/329476", "37624")</f>
      </c>
      <c r="B291" s="4" t="s">
        <f>=HYPERLINK("https://www.leilaoonline.com.br/lote/detalhe/329476", "DIVERSOS ITENS: 15 MOTORES ELÉTRICOS, 01 MOTOBOMBA, 01 MOTOREDUTOR. - LOC. SANTA HELENA  ")</f>
      </c>
      <c r="C291" s="4" t="inlineStr">
        <is>
          <t>Não vendido</t>
        </is>
      </c>
      <c r="D291" s="4" t="inlineStr">
        <is>
          <t>32</t>
        </is>
      </c>
      <c r="E291" s="5" t="inlineStr">
        <is>
          <t>24.500,00</t>
        </is>
      </c>
      <c r="F291" s="4" t="inlineStr">
        <is>
          <t>500.00</t>
        </is>
      </c>
    </row>
    <row collapsed="false" customFormat="false" customHeight="false" hidden="false" ht="12.1" outlineLevel="0" r="292">
      <c r="A292" s="5" t="s">
        <f>=HYPERLINK("https://www.leilaoonline.com.br/lote/detalhe/329510", "37625")</f>
      </c>
      <c r="B292" s="4" t="s">
        <f>=HYPERLINK("https://www.leilaoonline.com.br/lote/detalhe/329510", "GERADOR COM REDUTOR SEM TURBINA, 02 PAINÉIS. - (FIAÇÃO ELÉTRICA NÃO FAZ PARTE DO LOTE) . - LOC. SANTA HELENA ")</f>
      </c>
      <c r="C292" s="4" t="inlineStr">
        <is>
          <t>Não vendido</t>
        </is>
      </c>
      <c r="D292" s="4" t="inlineStr">
        <is>
          <t>1</t>
        </is>
      </c>
      <c r="E292" s="5" t="inlineStr">
        <is>
          <t>100.000,00</t>
        </is>
      </c>
      <c r="F292" s="4" t="inlineStr">
        <is>
          <t>2000.00</t>
        </is>
      </c>
    </row>
    <row collapsed="false" customFormat="false" customHeight="false" hidden="false" ht="12.1" outlineLevel="0" r="293">
      <c r="A293" s="5" t="s">
        <f>=HYPERLINK("https://www.leilaoonline.com.br/lote/detalhe/329511", "37626")</f>
      </c>
      <c r="B293" s="4" t="s">
        <f>=HYPERLINK("https://www.leilaoonline.com.br/lote/detalhe/329511", " GERADOR COM REDUTOR, COM TURBINA, 02 PAINÉIS. - (FIAÇÃO ELÉTRICA NÃO FAZ PARTE DO LOTE). - LOC. SANTA HELENA ")</f>
      </c>
      <c r="C293" s="4" t="inlineStr">
        <is>
          <t>Não vendido</t>
        </is>
      </c>
      <c r="D293" s="4" t="inlineStr">
        <is>
          <t>1</t>
        </is>
      </c>
      <c r="E293" s="5" t="inlineStr">
        <is>
          <t>120.000,00</t>
        </is>
      </c>
      <c r="F293" s="4" t="inlineStr">
        <is>
          <t>2000.00</t>
        </is>
      </c>
    </row>
    <row collapsed="false" customFormat="false" customHeight="false" hidden="false" ht="12.1" outlineLevel="0" r="294">
      <c r="A294" s="5" t="s">
        <f>=HYPERLINK("https://www.leilaoonline.com.br/lote/detalhe/329512", "37627")</f>
      </c>
      <c r="B294" s="4" t="s">
        <f>=HYPERLINK("https://www.leilaoonline.com.br/lote/detalhe/329512", "AQUECEDOR. - LOC. SANTA HELENA ")</f>
      </c>
      <c r="C294" s="4" t="inlineStr">
        <is>
          <t>Não vendido</t>
        </is>
      </c>
      <c r="D294" s="4" t="inlineStr">
        <is>
          <t>7</t>
        </is>
      </c>
      <c r="E294" s="5" t="inlineStr">
        <is>
          <t>9.500,00</t>
        </is>
      </c>
      <c r="F294" s="4" t="inlineStr">
        <is>
          <t>500.00</t>
        </is>
      </c>
    </row>
    <row collapsed="false" customFormat="false" customHeight="false" hidden="false" ht="12.1" outlineLevel="0" r="295">
      <c r="A295" s="5" t="s">
        <f>=HYPERLINK("https://www.leilaoonline.com.br/lote/detalhe/329515", "37628")</f>
      </c>
      <c r="B295" s="4" t="s">
        <f>=HYPERLINK("https://www.leilaoonline.com.br/lote/detalhe/329515", "TURBINA COM REDUTOR DEDINE, COM TROCADOR DE CALOR. - LOC. SANTA HELENA ")</f>
      </c>
      <c r="C295" s="4" t="inlineStr">
        <is>
          <t>Não vendido</t>
        </is>
      </c>
      <c r="D295" s="4" t="inlineStr">
        <is>
          <t>41</t>
        </is>
      </c>
      <c r="E295" s="5" t="inlineStr">
        <is>
          <t>45.000,00</t>
        </is>
      </c>
      <c r="F295" s="4" t="inlineStr">
        <is>
          <t>1000.00</t>
        </is>
      </c>
    </row>
    <row collapsed="false" customFormat="false" customHeight="false" hidden="false" ht="12.1" outlineLevel="0" r="296">
      <c r="A296" s="5" t="s">
        <f>=HYPERLINK("https://www.leilaoonline.com.br/lote/detalhe/329514", "37629")</f>
      </c>
      <c r="B296" s="4" t="s">
        <f>=HYPERLINK("https://www.leilaoonline.com.br/lote/detalhe/329514", "REDUTOR DEDINI. - PT058703. - LOC. SANTA HELENA")</f>
      </c>
      <c r="C296" s="4" t="inlineStr">
        <is>
          <t>Não vendido</t>
        </is>
      </c>
      <c r="D296" s="4" t="inlineStr">
        <is>
          <t>24</t>
        </is>
      </c>
      <c r="E296" s="5" t="inlineStr">
        <is>
          <t>19.000,00</t>
        </is>
      </c>
      <c r="F296" s="4" t="inlineStr">
        <is>
          <t>1000.00</t>
        </is>
      </c>
    </row>
    <row collapsed="false" customFormat="false" customHeight="false" hidden="false" ht="12.1" outlineLevel="0" r="297">
      <c r="A297" s="5" t="s">
        <f>=HYPERLINK("https://www.leilaoonline.com.br/lote/detalhe/329513", "37630")</f>
      </c>
      <c r="B297" s="4" t="s">
        <f>=HYPERLINK("https://www.leilaoonline.com.br/lote/detalhe/329513", "PONTE ROLANTE, CAPACIDADE 20 TONELADAS. - LOC. SANTA HELENA")</f>
      </c>
      <c r="C297" s="4" t="inlineStr">
        <is>
          <t>Não vendido</t>
        </is>
      </c>
      <c r="D297" s="4" t="inlineStr">
        <is>
          <t>1</t>
        </is>
      </c>
      <c r="E297" s="5" t="inlineStr">
        <is>
          <t>30.000,00</t>
        </is>
      </c>
      <c r="F297" s="4" t="inlineStr">
        <is>
          <t>1000.00</t>
        </is>
      </c>
    </row>
    <row collapsed="false" customFormat="false" customHeight="false" hidden="false" ht="12.1" outlineLevel="0" r="298">
      <c r="A298" s="5" t="s">
        <f>=HYPERLINK("https://www.leilaoonline.com.br/lote/detalhe/329517", "37631")</f>
      </c>
      <c r="B298" s="4" t="s">
        <f>=HYPERLINK("https://www.leilaoonline.com.br/lote/detalhe/329517", "3 MOTORES E 3 REDUTORES - LOC. SANTA HELENA")</f>
      </c>
      <c r="C298" s="4" t="inlineStr">
        <is>
          <t>Não vendido</t>
        </is>
      </c>
      <c r="D298" s="4" t="inlineStr">
        <is>
          <t>2</t>
        </is>
      </c>
      <c r="E298" s="5" t="inlineStr">
        <is>
          <t>5.500,00</t>
        </is>
      </c>
      <c r="F298" s="4" t="inlineStr">
        <is>
          <t>500.00</t>
        </is>
      </c>
    </row>
    <row collapsed="false" customFormat="false" customHeight="false" hidden="false" ht="12.1" outlineLevel="0" r="299">
      <c r="A299" s="5" t="s">
        <f>=HYPERLINK("https://www.leilaoonline.com.br/lote/detalhe/329516", "37632")</f>
      </c>
      <c r="B299" s="4" t="s">
        <f>=HYPERLINK("https://www.leilaoonline.com.br/lote/detalhe/329516", " 2 BOMBAS CENTRÍFUGA E 01 MOTOBOMBA. - LOC. SANTA HELENA ")</f>
      </c>
      <c r="C299" s="4" t="inlineStr">
        <is>
          <t>Não vendido</t>
        </is>
      </c>
      <c r="D299" s="4" t="inlineStr">
        <is>
          <t>1</t>
        </is>
      </c>
      <c r="E299" s="5" t="inlineStr">
        <is>
          <t>5.000,00</t>
        </is>
      </c>
      <c r="F299" s="4" t="inlineStr">
        <is>
          <t>500.00</t>
        </is>
      </c>
    </row>
    <row collapsed="false" customFormat="false" customHeight="false" hidden="false" ht="12.1" outlineLevel="0" r="300">
      <c r="A300" s="5" t="s">
        <f>=HYPERLINK("https://www.leilaoonline.com.br/lote/detalhe/329518", "37633")</f>
      </c>
      <c r="B300" s="4" t="s">
        <f>=HYPERLINK("https://www.leilaoonline.com.br/lote/detalhe/329518", "TURBINA COM BALÃO. - LOC. SANTA HELENA ")</f>
      </c>
      <c r="C300" s="4" t="inlineStr">
        <is>
          <t>Não vendido</t>
        </is>
      </c>
      <c r="D300" s="4" t="inlineStr">
        <is>
          <t>25</t>
        </is>
      </c>
      <c r="E300" s="5" t="inlineStr">
        <is>
          <t>28.000,00</t>
        </is>
      </c>
      <c r="F300" s="4" t="inlineStr">
        <is>
          <t>1000.00</t>
        </is>
      </c>
    </row>
    <row collapsed="false" customFormat="false" customHeight="false" hidden="false" ht="12.1" outlineLevel="0" r="301">
      <c r="A301" s="5" t="s">
        <f>=HYPERLINK("https://www.leilaoonline.com.br/lote/detalhe/329519", "37634")</f>
      </c>
      <c r="B301" s="4" t="s">
        <f>=HYPERLINK("https://www.leilaoonline.com.br/lote/detalhe/329519", "TURBINA COM REDUTOR - COM VALVULA E BALÃO. - LOC. SANTA HELENA ")</f>
      </c>
      <c r="C301" s="4" t="inlineStr">
        <is>
          <t>Não vendido</t>
        </is>
      </c>
      <c r="D301" s="4" t="inlineStr">
        <is>
          <t>39</t>
        </is>
      </c>
      <c r="E301" s="5" t="inlineStr">
        <is>
          <t>51.000,00</t>
        </is>
      </c>
      <c r="F301" s="4" t="inlineStr">
        <is>
          <t>1000.00</t>
        </is>
      </c>
    </row>
    <row collapsed="false" customFormat="false" customHeight="false" hidden="false" ht="12.1" outlineLevel="0" r="302">
      <c r="A302" s="5" t="s">
        <f>=HYPERLINK("https://www.leilaoonline.com.br/lote/detalhe/329520", "37635")</f>
      </c>
      <c r="B302" s="4" t="s">
        <f>=HYPERLINK("https://www.leilaoonline.com.br/lote/detalhe/329520", "REDUTOR DEDINI M2D-770 COM 3 PINHÃO VALVULA E BALÃO -  LOC. SANTA HELENA ")</f>
      </c>
      <c r="C302" s="4" t="inlineStr">
        <is>
          <t>Não vendido</t>
        </is>
      </c>
      <c r="D302" s="4" t="inlineStr">
        <is>
          <t>24</t>
        </is>
      </c>
      <c r="E302" s="5" t="inlineStr">
        <is>
          <t>40.000,00</t>
        </is>
      </c>
      <c r="F302" s="4" t="inlineStr">
        <is>
          <t>1000.00</t>
        </is>
      </c>
    </row>
    <row collapsed="false" customFormat="false" customHeight="false" hidden="false" ht="12.1" outlineLevel="0" r="303">
      <c r="A303" s="5" t="s">
        <f>=HYPERLINK("https://www.leilaoonline.com.br/lote/detalhe/329521", "37636")</f>
      </c>
      <c r="B303" s="4" t="s">
        <f>=HYPERLINK("https://www.leilaoonline.com.br/lote/detalhe/329521", "12 MANCAL DE MOENDA 78 - LOC. SANTA HELENA ")</f>
      </c>
      <c r="C303" s="4" t="inlineStr">
        <is>
          <t>Não vendido</t>
        </is>
      </c>
      <c r="D303" s="4" t="inlineStr">
        <is>
          <t>27</t>
        </is>
      </c>
      <c r="E303" s="5" t="inlineStr">
        <is>
          <t>62.000,00</t>
        </is>
      </c>
      <c r="F303" s="4" t="inlineStr">
        <is>
          <t>1000.00</t>
        </is>
      </c>
    </row>
    <row collapsed="false" customFormat="false" customHeight="false" hidden="false" ht="12.1" outlineLevel="0" r="304">
      <c r="A304" s="5" t="s">
        <f>=HYPERLINK("https://www.leilaoonline.com.br/lote/detalhe/329522", "37637")</f>
      </c>
      <c r="B304" s="4" t="s">
        <f>=HYPERLINK("https://www.leilaoonline.com.br/lote/detalhe/329522", " 1 MOTOBOMBA, 1 MOTOR ELÉTRICO - LOC. SANTA HELENA ")</f>
      </c>
      <c r="C304" s="4" t="inlineStr">
        <is>
          <t>Não vendido</t>
        </is>
      </c>
      <c r="D304" s="4" t="inlineStr">
        <is>
          <t>8</t>
        </is>
      </c>
      <c r="E304" s="5" t="inlineStr">
        <is>
          <t>8.500,00</t>
        </is>
      </c>
      <c r="F304" s="4" t="inlineStr">
        <is>
          <t>500.00</t>
        </is>
      </c>
    </row>
    <row collapsed="false" customFormat="false" customHeight="false" hidden="false" ht="12.1" outlineLevel="0" r="305">
      <c r="A305" s="5" t="s">
        <f>=HYPERLINK("https://www.leilaoonline.com.br/lote/detalhe/329524", "37638")</f>
      </c>
      <c r="B305" s="4" t="s">
        <f>=HYPERLINK("https://www.leilaoonline.com.br/lote/detalhe/329524", " PENEIRA ROTATIVA COM MOTOR E REDUTOR - LOC. SANTA HELENA ")</f>
      </c>
      <c r="C305" s="4" t="inlineStr">
        <is>
          <t>Não vendido</t>
        </is>
      </c>
      <c r="D305" s="4" t="inlineStr">
        <is>
          <t>2</t>
        </is>
      </c>
      <c r="E305" s="5" t="inlineStr">
        <is>
          <t>16.000,00</t>
        </is>
      </c>
      <c r="F305" s="4" t="inlineStr">
        <is>
          <t>1000.00</t>
        </is>
      </c>
    </row>
    <row collapsed="false" customFormat="false" customHeight="false" hidden="false" ht="12.1" outlineLevel="0" r="306">
      <c r="A306" s="5" t="s">
        <f>=HYPERLINK("https://www.leilaoonline.com.br/lote/detalhe/329523", "37639")</f>
      </c>
      <c r="B306" s="4" t="s">
        <f>=HYPERLINK("https://www.leilaoonline.com.br/lote/detalhe/329523", " ROSCA SEM FIM COM REDUTOR E MOTOR - LOC. SANTA HELENA ")</f>
      </c>
      <c r="C306" s="4" t="inlineStr">
        <is>
          <t>Não vendido</t>
        </is>
      </c>
      <c r="D306" s="4" t="inlineStr">
        <is>
          <t>1</t>
        </is>
      </c>
      <c r="E306" s="5" t="inlineStr">
        <is>
          <t>5.000,00</t>
        </is>
      </c>
      <c r="F306" s="4" t="inlineStr">
        <is>
          <t>500.00</t>
        </is>
      </c>
    </row>
    <row collapsed="false" customFormat="false" customHeight="false" hidden="false" ht="12.1" outlineLevel="0" r="307">
      <c r="A307" s="5" t="s">
        <f>=HYPERLINK("https://www.leilaoonline.com.br/lote/detalhe/329525", "37640")</f>
      </c>
      <c r="B307" s="4" t="s">
        <f>=HYPERLINK("https://www.leilaoonline.com.br/lote/detalhe/329525", "EVAPORADOR A - QUARTO EFEITO, EVAPORADOR A, B E C, LOTE COM 7 CAIXAS DE EVAPORAÇÃO- LOC. SANTA HELENA ")</f>
      </c>
      <c r="C307" s="4" t="inlineStr">
        <is>
          <t>Não vendido</t>
        </is>
      </c>
      <c r="D307" s="4" t="inlineStr">
        <is>
          <t>1</t>
        </is>
      </c>
      <c r="E307" s="5" t="inlineStr">
        <is>
          <t>7.000,00</t>
        </is>
      </c>
      <c r="F307" s="4" t="inlineStr">
        <is>
          <t>1000.00</t>
        </is>
      </c>
    </row>
    <row collapsed="false" customFormat="false" customHeight="false" hidden="false" ht="12.1" outlineLevel="0" r="308">
      <c r="A308" s="5" t="s">
        <f>=HYPERLINK("https://www.leilaoonline.com.br/lote/detalhe/329526", "37641")</f>
      </c>
      <c r="B308" s="4" t="s">
        <f>=HYPERLINK("https://www.leilaoonline.com.br/lote/detalhe/329526", " PRÉ EVAPORADOR (E) - LOC. SANTA HELENA ")</f>
      </c>
      <c r="C308" s="4" t="inlineStr">
        <is>
          <t>Não vendido</t>
        </is>
      </c>
      <c r="D308" s="4" t="inlineStr">
        <is>
          <t>61</t>
        </is>
      </c>
      <c r="E308" s="5" t="inlineStr">
        <is>
          <t>61.000,00</t>
        </is>
      </c>
      <c r="F308" s="4" t="inlineStr">
        <is>
          <t>1000.00</t>
        </is>
      </c>
    </row>
    <row collapsed="false" customFormat="false" customHeight="false" hidden="false" ht="12.1" outlineLevel="0" r="309">
      <c r="A309" s="5" t="s">
        <f>=HYPERLINK("https://www.leilaoonline.com.br/lote/detalhe/329527", "37642")</f>
      </c>
      <c r="B309" s="4" t="s">
        <f>=HYPERLINK("https://www.leilaoonline.com.br/lote/detalhe/329527", "PRÉ EVAPORADOR (D), ALIVIADOR DE VAPOR - LOC. SANTA HELENA ")</f>
      </c>
      <c r="C309" s="4" t="inlineStr">
        <is>
          <t>Não vendido</t>
        </is>
      </c>
      <c r="D309" s="4" t="inlineStr">
        <is>
          <t>14</t>
        </is>
      </c>
      <c r="E309" s="5" t="inlineStr">
        <is>
          <t>23.000,00</t>
        </is>
      </c>
      <c r="F309" s="4" t="inlineStr">
        <is>
          <t>1000.00</t>
        </is>
      </c>
    </row>
    <row collapsed="false" customFormat="false" customHeight="false" hidden="false" ht="12.1" outlineLevel="0" r="310">
      <c r="A310" s="5" t="s">
        <f>=HYPERLINK("https://www.leilaoonline.com.br/lote/detalhe/329528", "37643")</f>
      </c>
      <c r="B310" s="4" t="s">
        <f>=HYPERLINK("https://www.leilaoonline.com.br/lote/detalhe/329528", "10 COZEDOR DE AÇÚCAR, COM VÁLVULAS E PERIFÉRICOS, TANQUE XAROPE, TANQUE DE MEL MISTO, TELHADO FAZ PARTE DO LOTE - LOC. SANTA HELENA ")</f>
      </c>
      <c r="C310" s="4" t="inlineStr">
        <is>
          <t>Não vendido</t>
        </is>
      </c>
      <c r="D310" s="4" t="inlineStr">
        <is>
          <t>3</t>
        </is>
      </c>
      <c r="E310" s="5" t="inlineStr">
        <is>
          <t>47.000,00</t>
        </is>
      </c>
      <c r="F310" s="4" t="inlineStr">
        <is>
          <t>1000.00</t>
        </is>
      </c>
    </row>
    <row collapsed="false" customFormat="false" customHeight="false" hidden="false" ht="12.1" outlineLevel="0" r="311">
      <c r="A311" s="5" t="s">
        <f>=HYPERLINK("https://www.leilaoonline.com.br/lote/detalhe/329529", "37644")</f>
      </c>
      <c r="B311" s="4" t="s">
        <f>=HYPERLINK("https://www.leilaoonline.com.br/lote/detalhe/329529", " 2 FILTROS ROTATIVOS (FILTRO 2 E FILTRO 4) - LOC. SANTA HELENA ")</f>
      </c>
      <c r="C311" s="4" t="inlineStr">
        <is>
          <t>Não vendido</t>
        </is>
      </c>
      <c r="D311" s="4" t="inlineStr">
        <is>
          <t>1</t>
        </is>
      </c>
      <c r="E311" s="5" t="inlineStr">
        <is>
          <t>9.000,00</t>
        </is>
      </c>
      <c r="F311" s="4" t="inlineStr">
        <is>
          <t>500.00</t>
        </is>
      </c>
    </row>
    <row collapsed="false" customFormat="false" customHeight="false" hidden="false" ht="12.1" outlineLevel="0" r="312">
      <c r="A312" s="5" t="s">
        <f>=HYPERLINK("https://www.leilaoonline.com.br/lote/detalhe/329531", "37645")</f>
      </c>
      <c r="B312" s="4" t="s">
        <f>=HYPERLINK("https://www.leilaoonline.com.br/lote/detalhe/329531", "PENEIRA DE CALDO 4 UNIDADES - LOC. SANTA HELENA ")</f>
      </c>
      <c r="C312" s="4" t="inlineStr">
        <is>
          <t>Não vendido</t>
        </is>
      </c>
      <c r="D312" s="4" t="inlineStr">
        <is>
          <t>0</t>
        </is>
      </c>
      <c r="E312" s="5" t="inlineStr">
        <is>
          <t>5.000,00</t>
        </is>
      </c>
      <c r="F312" s="4" t="inlineStr">
        <is>
          <t>500.00</t>
        </is>
      </c>
    </row>
    <row collapsed="false" customFormat="false" customHeight="false" hidden="false" ht="12.1" outlineLevel="0" r="313">
      <c r="A313" s="5" t="s">
        <f>=HYPERLINK("https://www.leilaoonline.com.br/lote/detalhe/329530", "37646")</f>
      </c>
      <c r="B313" s="4" t="s">
        <f>=HYPERLINK("https://www.leilaoonline.com.br/lote/detalhe/329530", "CRISTALIZADOR 19 UNIDADES  - LOC. SANTA HELENA ")</f>
      </c>
      <c r="C313" s="4" t="inlineStr">
        <is>
          <t>Não vendido</t>
        </is>
      </c>
      <c r="D313" s="4" t="inlineStr">
        <is>
          <t>0</t>
        </is>
      </c>
      <c r="E313" s="5" t="inlineStr">
        <is>
          <t>60.000,00</t>
        </is>
      </c>
      <c r="F313" s="4" t="inlineStr">
        <is>
          <t>2000.00</t>
        </is>
      </c>
    </row>
    <row collapsed="false" customFormat="false" customHeight="false" hidden="false" ht="12.1" outlineLevel="0" r="314">
      <c r="A314" s="5" t="s">
        <f>=HYPERLINK("https://www.leilaoonline.com.br/lote/detalhe/329532", "37647")</f>
      </c>
      <c r="B314" s="4" t="s">
        <f>=HYPERLINK("https://www.leilaoonline.com.br/lote/detalhe/329532", " BOMBA A VÁCUO COM MOTOR - LOC. SANTA HELENA ")</f>
      </c>
      <c r="C314" s="4" t="inlineStr">
        <is>
          <t>Não vendido</t>
        </is>
      </c>
      <c r="D314" s="4" t="inlineStr">
        <is>
          <t>2</t>
        </is>
      </c>
      <c r="E314" s="5" t="inlineStr">
        <is>
          <t>3.500,00</t>
        </is>
      </c>
      <c r="F314" s="4" t="inlineStr">
        <is>
          <t>500.00</t>
        </is>
      </c>
    </row>
    <row collapsed="false" customFormat="false" customHeight="false" hidden="false" ht="12.1" outlineLevel="0" r="315">
      <c r="A315" s="5" t="s">
        <f>=HYPERLINK("https://www.leilaoonline.com.br/lote/detalhe/329533", "37648")</f>
      </c>
      <c r="B315" s="4" t="s">
        <f>=HYPERLINK("https://www.leilaoonline.com.br/lote/detalhe/329533", " 2 MOTOBOMBA - LOC. SANTA HELENA ")</f>
      </c>
      <c r="C315" s="4" t="inlineStr">
        <is>
          <t>Não vendido</t>
        </is>
      </c>
      <c r="D315" s="4" t="inlineStr">
        <is>
          <t>1</t>
        </is>
      </c>
      <c r="E315" s="5" t="inlineStr">
        <is>
          <t>3.000,00</t>
        </is>
      </c>
      <c r="F315" s="4" t="inlineStr">
        <is>
          <t>500.00</t>
        </is>
      </c>
    </row>
    <row collapsed="false" customFormat="false" customHeight="false" hidden="false" ht="12.1" outlineLevel="0" r="316">
      <c r="A316" s="5" t="s">
        <f>=HYPERLINK("https://www.leilaoonline.com.br/lote/detalhe/329535", "37649")</f>
      </c>
      <c r="B316" s="4" t="s">
        <f>=HYPERLINK("https://www.leilaoonline.com.br/lote/detalhe/329535", " 2 MOTOBOMBA - LOC. SANTA HELENA ")</f>
      </c>
      <c r="C316" s="4" t="inlineStr">
        <is>
          <t>Não vendido</t>
        </is>
      </c>
      <c r="D316" s="4" t="inlineStr">
        <is>
          <t>2</t>
        </is>
      </c>
      <c r="E316" s="5" t="inlineStr">
        <is>
          <t>3.500,00</t>
        </is>
      </c>
      <c r="F316" s="4" t="inlineStr">
        <is>
          <t>500.00</t>
        </is>
      </c>
    </row>
    <row collapsed="false" customFormat="false" customHeight="false" hidden="false" ht="12.1" outlineLevel="0" r="317">
      <c r="A317" s="5" t="s">
        <f>=HYPERLINK("https://www.leilaoonline.com.br/lote/detalhe/329534", "37650")</f>
      </c>
      <c r="B317" s="4" t="s">
        <f>=HYPERLINK("https://www.leilaoonline.com.br/lote/detalhe/329534", "12 CAIXAS DE EVAPORAÇÃO - LOC. SANTA HELENA")</f>
      </c>
      <c r="C317" s="4" t="inlineStr">
        <is>
          <t>Não vendido</t>
        </is>
      </c>
      <c r="D317" s="4" t="inlineStr">
        <is>
          <t>55</t>
        </is>
      </c>
      <c r="E317" s="5" t="inlineStr">
        <is>
          <t>99.000,00</t>
        </is>
      </c>
      <c r="F317" s="4" t="inlineStr">
        <is>
          <t>1000.00</t>
        </is>
      </c>
    </row>
    <row collapsed="false" customFormat="false" customHeight="false" hidden="false" ht="12.1" outlineLevel="0" r="318">
      <c r="A318" s="5" t="s">
        <f>=HYPERLINK("https://www.leilaoonline.com.br/lote/detalhe/329536", "37651")</f>
      </c>
      <c r="B318" s="4" t="s">
        <f>=HYPERLINK("https://www.leilaoonline.com.br/lote/detalhe/329536", "SECADOR DE AÇÚCAR - COM ESTEIRA, MOEGA, CILO, PONTE ROLANTE ( 3 TONELADAS) COM PERIFÉRICOS ESTRUTURA INCLUSA - LOC. SANTA HELENA ")</f>
      </c>
      <c r="C318" s="4" t="inlineStr">
        <is>
          <t>Não vendido</t>
        </is>
      </c>
      <c r="D318" s="4" t="inlineStr">
        <is>
          <t>1</t>
        </is>
      </c>
      <c r="E318" s="5" t="inlineStr">
        <is>
          <t>50.000,00</t>
        </is>
      </c>
      <c r="F318" s="4" t="inlineStr">
        <is>
          <t>1000.00</t>
        </is>
      </c>
    </row>
    <row collapsed="false" customFormat="false" customHeight="false" hidden="false" ht="12.1" outlineLevel="0" r="319">
      <c r="A319" s="5" t="s">
        <f>=HYPERLINK("https://www.leilaoonline.com.br/lote/detalhe/329539", "37652")</f>
      </c>
      <c r="B319" s="4" t="s">
        <f>=HYPERLINK("https://www.leilaoonline.com.br/lote/detalhe/329539", "DORNAS DE FERMENTAÇÃO - 27 UNIDADES, COLUNA DE C02, ESTRUTURA E PERIFÉRICOS DA FERMENTAÇÃO, 5 TROCADORES DE CALOR, 15 MOTOBOMBAS - LOC. SANTA HELENA ")</f>
      </c>
      <c r="C319" s="4" t="inlineStr">
        <is>
          <t>Não vendido</t>
        </is>
      </c>
      <c r="D319" s="4" t="inlineStr">
        <is>
          <t>1</t>
        </is>
      </c>
      <c r="E319" s="5" t="inlineStr">
        <is>
          <t>100.000,00</t>
        </is>
      </c>
      <c r="F319" s="4" t="inlineStr">
        <is>
          <t>5000.00</t>
        </is>
      </c>
    </row>
    <row collapsed="false" customFormat="false" customHeight="false" hidden="false" ht="12.1" outlineLevel="0" r="320">
      <c r="A320" s="5" t="s">
        <f>=HYPERLINK("https://www.leilaoonline.com.br/lote/detalhe/329540", "37653")</f>
      </c>
      <c r="B320" s="4" t="s">
        <f>=HYPERLINK("https://www.leilaoonline.com.br/lote/detalhe/329540", " DESTILARIA COM 12 COLUNAS/CONDENSADORES,PERIFÉRICOS E ESTRUTURA, 3 CONJUNTOS DE TROCADOR DE CALOR. - LOC. SANTA HELENA ")</f>
      </c>
      <c r="C320" s="4" t="inlineStr">
        <is>
          <t>Não vendido</t>
        </is>
      </c>
      <c r="D320" s="4" t="inlineStr">
        <is>
          <t>0</t>
        </is>
      </c>
      <c r="E320" s="5" t="inlineStr">
        <is>
          <t>500.000,00</t>
        </is>
      </c>
      <c r="F320" s="4" t="inlineStr">
        <is>
          <t>10000.00</t>
        </is>
      </c>
    </row>
    <row collapsed="false" customFormat="false" customHeight="false" hidden="false" ht="12.1" outlineLevel="0" r="321">
      <c r="A321" s="5" t="s">
        <f>=HYPERLINK("https://www.leilaoonline.com.br/lote/detalhe/329537", "37654")</f>
      </c>
      <c r="B321" s="4" t="s">
        <f>=HYPERLINK("https://www.leilaoonline.com.br/lote/detalhe/329537", "TURBO BOMBA COM TORRE ALPINA E PERIFÉRICOS - LOC. SANTA HELENA ")</f>
      </c>
      <c r="C321" s="4" t="inlineStr">
        <is>
          <t>Não vendido</t>
        </is>
      </c>
      <c r="D321" s="4" t="inlineStr">
        <is>
          <t>2</t>
        </is>
      </c>
      <c r="E321" s="5" t="inlineStr">
        <is>
          <t>5.500,00</t>
        </is>
      </c>
      <c r="F321" s="4" t="inlineStr">
        <is>
          <t>500.00</t>
        </is>
      </c>
    </row>
    <row collapsed="false" customFormat="false" customHeight="false" hidden="false" ht="12.1" outlineLevel="0" r="322">
      <c r="A322" s="5" t="s">
        <f>=HYPERLINK("https://www.leilaoonline.com.br/lote/detalhe/329538", "37655")</f>
      </c>
      <c r="B322" s="4" t="s">
        <f>=HYPERLINK("https://www.leilaoonline.com.br/lote/detalhe/329538", " TURBO BOMBA MULTIJATO A VAPOR E SISTEMA DE RESFRIAMENTO, COM 5 TURBINAS COM BOMBAS E REDUTORES, 2 TROCADOR DE CALOR E REDUTOR - LOC. SANTA HELENA ")</f>
      </c>
      <c r="C322" s="4" t="inlineStr">
        <is>
          <t>Não vendido</t>
        </is>
      </c>
      <c r="D322" s="4" t="inlineStr">
        <is>
          <t>6</t>
        </is>
      </c>
      <c r="E322" s="5" t="inlineStr">
        <is>
          <t>11.500,00</t>
        </is>
      </c>
      <c r="F322" s="4" t="inlineStr">
        <is>
          <t>500.00</t>
        </is>
      </c>
    </row>
    <row collapsed="false" customFormat="false" customHeight="false" hidden="false" ht="12.1" outlineLevel="0" r="323">
      <c r="A323" s="5" t="s">
        <f>=HYPERLINK("https://www.leilaoonline.com.br/lote/detalhe/329541", "37656")</f>
      </c>
      <c r="B323" s="4" t="s">
        <f>=HYPERLINK("https://www.leilaoonline.com.br/lote/detalhe/329541", "DECANTADORES DE CALDO- 1 RÁPIDO E 1 SEMI RÁPIDO, SEMI RÁPIDO COM CAPACIDADE DE 120 M3. RÁPIDO COM CAPACIDADE DE 500 M3 - LOC. SANTA HELENA ")</f>
      </c>
      <c r="C323" s="4" t="inlineStr">
        <is>
          <t>Não vendido</t>
        </is>
      </c>
      <c r="D323" s="4" t="inlineStr">
        <is>
          <t>1</t>
        </is>
      </c>
      <c r="E323" s="5" t="inlineStr">
        <is>
          <t>10.000,00</t>
        </is>
      </c>
      <c r="F323" s="4" t="inlineStr">
        <is>
          <t>500.00</t>
        </is>
      </c>
    </row>
    <row collapsed="false" customFormat="false" customHeight="false" hidden="false" ht="12.1" outlineLevel="0" r="324">
      <c r="A324" s="5" t="s">
        <f>=HYPERLINK("https://www.leilaoonline.com.br/lote/detalhe/329542", "37657")</f>
      </c>
      <c r="B324" s="4" t="s">
        <f>=HYPERLINK("https://www.leilaoonline.com.br/lote/detalhe/329542", "CALDEIRA COM PERIFÉRICOS QTD. 5,COM MOTORES VENTILADORES, EXAUSTORES, LAVADORES DE GASES 1 TURBINA COM REDUTOR - LOC. SANTA HELENA ")</f>
      </c>
      <c r="C324" s="4" t="inlineStr">
        <is>
          <t>Não vendido</t>
        </is>
      </c>
      <c r="D324" s="4" t="inlineStr">
        <is>
          <t>11</t>
        </is>
      </c>
      <c r="E324" s="5" t="inlineStr">
        <is>
          <t>185.000,00</t>
        </is>
      </c>
      <c r="F324" s="4" t="inlineStr">
        <is>
          <t>10000.00</t>
        </is>
      </c>
    </row>
    <row collapsed="false" customFormat="false" customHeight="false" hidden="false" ht="12.1" outlineLevel="0" r="325">
      <c r="A325" s="5" t="s">
        <f>=HYPERLINK("https://www.leilaoonline.com.br/lote/detalhe/329543", "37658")</f>
      </c>
      <c r="B325" s="4" t="s">
        <f>=HYPERLINK("https://www.leilaoonline.com.br/lote/detalhe/329543", "12 TANQUES DE ARMAZENAMENTO DE ÁLCOOL - DIVERSAS CAPACIDADES - LOC. SANTA HELENA ")</f>
      </c>
      <c r="C325" s="4" t="inlineStr">
        <is>
          <t>Não vendido</t>
        </is>
      </c>
      <c r="D325" s="4" t="inlineStr">
        <is>
          <t>28</t>
        </is>
      </c>
      <c r="E325" s="5" t="inlineStr">
        <is>
          <t>610.000,00</t>
        </is>
      </c>
      <c r="F325" s="4" t="inlineStr">
        <is>
          <t>10000.00</t>
        </is>
      </c>
    </row>
    <row collapsed="false" customFormat="false" customHeight="false" hidden="false" ht="12.1" outlineLevel="0" r="326">
      <c r="A326" s="5" t="s">
        <f>=HYPERLINK("https://www.leilaoonline.com.br/lote/detalhe/329544", "37659")</f>
      </c>
      <c r="B326" s="4" t="s">
        <f>=HYPERLINK("https://www.leilaoonline.com.br/lote/detalhe/329544", "3 MOTORES E 3 BOMBAS - LOC. SANTA HELENA ")</f>
      </c>
      <c r="C326" s="4" t="inlineStr">
        <is>
          <t>Não vendido</t>
        </is>
      </c>
      <c r="D326" s="4" t="inlineStr">
        <is>
          <t>19</t>
        </is>
      </c>
      <c r="E326" s="5" t="inlineStr">
        <is>
          <t>16.750,00</t>
        </is>
      </c>
      <c r="F326" s="4" t="inlineStr">
        <is>
          <t>500.00</t>
        </is>
      </c>
    </row>
    <row collapsed="false" customFormat="false" customHeight="false" hidden="false" ht="12.1" outlineLevel="0" r="327">
      <c r="A327" s="5" t="s">
        <f>=HYPERLINK("https://www.leilaoonline.com.br/lote/detalhe/329545", "37667")</f>
      </c>
      <c r="B327" s="4" t="s">
        <f>=HYPERLINK("https://www.leilaoonline.com.br/lote/detalhe/329545", "04 MOTORES, 4 BOMBAS, 2 MOTOREDUTOR COM 1 TUBO DE VAZÃO COM MEDIDOR E 4 PAINÉIS ELÉTRICOS - LOC. SANTA HELENA")</f>
      </c>
      <c r="C327" s="4" t="inlineStr">
        <is>
          <t>Não vendido</t>
        </is>
      </c>
      <c r="D327" s="4" t="inlineStr">
        <is>
          <t>34</t>
        </is>
      </c>
      <c r="E327" s="5" t="inlineStr">
        <is>
          <t>25.250,00</t>
        </is>
      </c>
      <c r="F327" s="4" t="inlineStr">
        <is>
          <t>500.00</t>
        </is>
      </c>
    </row>
    <row collapsed="false" customFormat="false" customHeight="false" hidden="false" ht="12.1" outlineLevel="0" r="328">
      <c r="A328" s="5" t="s">
        <f>=HYPERLINK("https://www.leilaoonline.com.br/lote/detalhe/329547", "37669")</f>
      </c>
      <c r="B328" s="4" t="s">
        <f>=HYPERLINK("https://www.leilaoonline.com.br/lote/detalhe/329547", "PAINÉIS ELÉTRICOS 12 UNIDADES - COM CALHAS ELÉTRICAS E CONDUÍTE, TRANSFORMADOR ELÉTRICO, (MODULO RESISTENCIA DE HILO TOMBADOR NÃO FAZ PARTE) 20 PAINÉIS , 4 NOBREAKS - LOC. SANTA HELENA  ")</f>
      </c>
      <c r="C328" s="4" t="inlineStr">
        <is>
          <t>Não vendido</t>
        </is>
      </c>
      <c r="D328" s="4" t="inlineStr">
        <is>
          <t>63</t>
        </is>
      </c>
      <c r="E328" s="5" t="inlineStr">
        <is>
          <t>41.250,00</t>
        </is>
      </c>
      <c r="F328" s="4" t="inlineStr">
        <is>
          <t>1000.00</t>
        </is>
      </c>
    </row>
    <row collapsed="false" customFormat="false" customHeight="false" hidden="false" ht="12.1" outlineLevel="0" r="329">
      <c r="A329" s="5" t="s">
        <f>=HYPERLINK("https://www.leilaoonline.com.br/lote/detalhe/329549", "37671")</f>
      </c>
      <c r="B329" s="4" t="s">
        <f>=HYPERLINK("https://www.leilaoonline.com.br/lote/detalhe/329549", "9 PALETES DE DIVERSAS PEÇAS, VÁLVULAS, 50 MEDIDORES/CONTROLADORES DE VAZÃO, 35 VÁLVULAS DE DIVERSOS TAMANHOS - LOC. SANTA HELENA ")</f>
      </c>
      <c r="C329" s="4" t="inlineStr">
        <is>
          <t>Não vendido</t>
        </is>
      </c>
      <c r="D329" s="4" t="inlineStr">
        <is>
          <t>18</t>
        </is>
      </c>
      <c r="E329" s="5" t="inlineStr">
        <is>
          <t>11.500,00</t>
        </is>
      </c>
      <c r="F329" s="4" t="inlineStr">
        <is>
          <t>500.00</t>
        </is>
      </c>
    </row>
    <row collapsed="false" customFormat="false" customHeight="false" hidden="false" ht="12.1" outlineLevel="0" r="330">
      <c r="A330" s="5" t="s">
        <f>=HYPERLINK("https://www.leilaoonline.com.br/lote/detalhe/329546", "37673")</f>
      </c>
      <c r="B330" s="4" t="s">
        <f>=HYPERLINK("https://www.leilaoonline.com.br/lote/detalhe/329546", "3 PRATELEIRAS COM MATERIAIS ELÉTRICOS DIVERSOS - LOC. SANTA HELENA ")</f>
      </c>
      <c r="C330" s="4" t="inlineStr">
        <is>
          <t>Não vendido</t>
        </is>
      </c>
      <c r="D330" s="4" t="inlineStr">
        <is>
          <t>4</t>
        </is>
      </c>
      <c r="E330" s="5" t="inlineStr">
        <is>
          <t>8.500,00</t>
        </is>
      </c>
      <c r="F330" s="4" t="inlineStr">
        <is>
          <t>500.00</t>
        </is>
      </c>
    </row>
    <row collapsed="false" customFormat="false" customHeight="false" hidden="false" ht="12.1" outlineLevel="0" r="331">
      <c r="A331" s="5" t="s">
        <f>=HYPERLINK("https://www.leilaoonline.com.br/lote/detalhe/329550", "37676")</f>
      </c>
      <c r="B331" s="4" t="s">
        <f>=HYPERLINK("https://www.leilaoonline.com.br/lote/detalhe/329550", "TANQUE DE FIBRA CAPACIDADE 60.000 LITROS APROX. - LOC. SANTA HELENA ")</f>
      </c>
      <c r="C331" s="4" t="inlineStr">
        <is>
          <t>Não vendido</t>
        </is>
      </c>
      <c r="D331" s="4" t="inlineStr">
        <is>
          <t>54</t>
        </is>
      </c>
      <c r="E331" s="5" t="inlineStr">
        <is>
          <t>33.500,00</t>
        </is>
      </c>
      <c r="F331" s="4" t="inlineStr">
        <is>
          <t>1000.00</t>
        </is>
      </c>
    </row>
    <row collapsed="false" customFormat="false" customHeight="false" hidden="false" ht="12.1" outlineLevel="0" r="332">
      <c r="A332" s="5" t="s">
        <f>=HYPERLINK("https://www.leilaoonline.com.br/lote/detalhe/329551", "37677")</f>
      </c>
      <c r="B332" s="4" t="s">
        <f>=HYPERLINK("https://www.leilaoonline.com.br/lote/detalhe/329551", "ITENS DIVERSOS: VÁLVULAS, BOMBAS, LONA DE ESTEIRA, BALANÇÃO DE PONTE ROLANTE,  PINHÃO COM DIVERSAS PEÇAS, LONA DE FILTRO PRENSA,ROSCA SEM FIM, FLANGES, PESO DO LOTE 30 TON.(REDUTORES E TROCADORES DE CALOR NÃO FAZEM PARTE DO LOTE) - LOC. SANTA HELENA ")</f>
      </c>
      <c r="C332" s="4" t="inlineStr">
        <is>
          <t>Não vendido</t>
        </is>
      </c>
      <c r="D332" s="4" t="inlineStr">
        <is>
          <t>65</t>
        </is>
      </c>
      <c r="E332" s="5" t="inlineStr">
        <is>
          <t>46.000,00</t>
        </is>
      </c>
      <c r="F332" s="4" t="inlineStr">
        <is>
          <t>1000.00</t>
        </is>
      </c>
    </row>
    <row collapsed="false" customFormat="false" customHeight="false" hidden="false" ht="12.1" outlineLevel="0" r="333">
      <c r="A333" s="5" t="s">
        <f>=HYPERLINK("https://www.leilaoonline.com.br/lote/detalhe/329548", "37678")</f>
      </c>
      <c r="B333" s="4" t="s">
        <f>=HYPERLINK("https://www.leilaoonline.com.br/lote/detalhe/329548", "SISTEMA DE FABRICAÇÃO PELLETS - LOC. SANTA HELENA ")</f>
      </c>
      <c r="C333" s="4" t="inlineStr">
        <is>
          <t>Não vendido</t>
        </is>
      </c>
      <c r="D333" s="4" t="inlineStr">
        <is>
          <t>27</t>
        </is>
      </c>
      <c r="E333" s="5" t="inlineStr">
        <is>
          <t>31.000,00</t>
        </is>
      </c>
      <c r="F333" s="4" t="inlineStr">
        <is>
          <t>1000.00</t>
        </is>
      </c>
    </row>
    <row collapsed="false" customFormat="false" customHeight="false" hidden="false" ht="12.1" outlineLevel="0" r="334">
      <c r="A334" s="5" t="s">
        <f>=HYPERLINK("https://www.leilaoonline.com.br/lote/detalhe/329552", "37679")</f>
      </c>
      <c r="B334" s="4" t="s">
        <f>=HYPERLINK("https://www.leilaoonline.com.br/lote/detalhe/329552", "2 TANQUES DE FIBRA COM CAPACIDADE DE 60.000 LITROS E 500 LITROS APROX. - LOC. SANTA HELENA")</f>
      </c>
      <c r="C334" s="4" t="inlineStr">
        <is>
          <t>Não vendido</t>
        </is>
      </c>
      <c r="D334" s="4" t="inlineStr">
        <is>
          <t>52</t>
        </is>
      </c>
      <c r="E334" s="5" t="inlineStr">
        <is>
          <t>32.000,00</t>
        </is>
      </c>
      <c r="F334" s="4" t="inlineStr">
        <is>
          <t>1000.00</t>
        </is>
      </c>
    </row>
    <row collapsed="false" customFormat="false" customHeight="false" hidden="false" ht="12.1" outlineLevel="0" r="335">
      <c r="A335" s="5" t="s">
        <f>=HYPERLINK("https://www.leilaoonline.com.br/lote/detalhe/329553", "37680")</f>
      </c>
      <c r="B335" s="4" t="s">
        <f>=HYPERLINK("https://www.leilaoonline.com.br/lote/detalhe/329553", "REDUTOR 16 UNIDADES - LOC. SANTA HELENA ")</f>
      </c>
      <c r="C335" s="4" t="inlineStr">
        <is>
          <t>Não vendido</t>
        </is>
      </c>
      <c r="D335" s="4" t="inlineStr">
        <is>
          <t>44</t>
        </is>
      </c>
      <c r="E335" s="5" t="inlineStr">
        <is>
          <t>51.500,00</t>
        </is>
      </c>
      <c r="F335" s="4" t="inlineStr">
        <is>
          <t>1000.00</t>
        </is>
      </c>
    </row>
    <row collapsed="false" customFormat="false" customHeight="false" hidden="false" ht="12.1" outlineLevel="0" r="336">
      <c r="A336" s="5" t="s">
        <f>=HYPERLINK("https://www.leilaoonline.com.br/lote/detalhe/329554", "37681")</f>
      </c>
      <c r="B336" s="4" t="s">
        <f>=HYPERLINK("https://www.leilaoonline.com.br/lote/detalhe/329554", "TROCADORES DE CALOR - QTD 7 - LOC. SANTA HELENA")</f>
      </c>
      <c r="C336" s="4" t="inlineStr">
        <is>
          <t>Não vendido</t>
        </is>
      </c>
      <c r="D336" s="4" t="inlineStr">
        <is>
          <t>9</t>
        </is>
      </c>
      <c r="E336" s="5" t="inlineStr">
        <is>
          <t>38.000,00</t>
        </is>
      </c>
      <c r="F336" s="4" t="inlineStr">
        <is>
          <t>1000.00</t>
        </is>
      </c>
    </row>
    <row collapsed="false" customFormat="false" customHeight="false" hidden="false" ht="12.1" outlineLevel="0" r="337">
      <c r="A337" s="5" t="s">
        <f>=HYPERLINK("https://www.leilaoonline.com.br/lote/detalhe/329555", "37682")</f>
      </c>
      <c r="B337" s="4" t="s">
        <f>=HYPERLINK("https://www.leilaoonline.com.br/lote/detalhe/329555", " GERADOR MAUSA - LOC. SANTA HELENA ")</f>
      </c>
      <c r="C337" s="4" t="inlineStr">
        <is>
          <t>Não vendido</t>
        </is>
      </c>
      <c r="D337" s="4" t="inlineStr">
        <is>
          <t>20</t>
        </is>
      </c>
      <c r="E337" s="5" t="inlineStr">
        <is>
          <t>38.000,00</t>
        </is>
      </c>
      <c r="F337" s="4" t="inlineStr">
        <is>
          <t>1000.00</t>
        </is>
      </c>
    </row>
    <row collapsed="false" customFormat="false" customHeight="false" hidden="false" ht="12.1" outlineLevel="0" r="338">
      <c r="A338" s="5" t="s">
        <f>=HYPERLINK("https://www.leilaoonline.com.br/lote/detalhe/329556", "37683")</f>
      </c>
      <c r="B338" s="4" t="s">
        <f>=HYPERLINK("https://www.leilaoonline.com.br/lote/detalhe/329556", " REDUTOR DEDINI - LOC. SANTA HELENA ")</f>
      </c>
      <c r="C338" s="4" t="inlineStr">
        <is>
          <t>Não vendido</t>
        </is>
      </c>
      <c r="D338" s="4" t="inlineStr">
        <is>
          <t>2</t>
        </is>
      </c>
      <c r="E338" s="5" t="inlineStr">
        <is>
          <t>5.500,00</t>
        </is>
      </c>
      <c r="F338" s="4" t="inlineStr">
        <is>
          <t>500.00</t>
        </is>
      </c>
    </row>
    <row collapsed="false" customFormat="false" customHeight="false" hidden="false" ht="12.1" outlineLevel="0" r="339">
      <c r="A339" s="5" t="s">
        <f>=HYPERLINK("https://www.leilaoonline.com.br/lote/detalhe/329557", "37684")</f>
      </c>
      <c r="B339" s="4" t="s">
        <f>=HYPERLINK("https://www.leilaoonline.com.br/lote/detalhe/329557", " APROX. 10 TONELADAS DE TUBOS, DIVERSAS MEDIDAS - (VENDA POR KG) - LOC. SANTA HELENA ")</f>
      </c>
      <c r="C339" s="4" t="inlineStr">
        <is>
          <t>Não vendido</t>
        </is>
      </c>
      <c r="D339" s="4" t="inlineStr">
        <is>
          <t>25</t>
        </is>
      </c>
      <c r="E339" s="5" t="inlineStr">
        <is>
          <t>34.000,00</t>
        </is>
      </c>
      <c r="F339" s="4" t="inlineStr">
        <is>
          <t>0.10</t>
        </is>
      </c>
    </row>
    <row collapsed="false" customFormat="false" customHeight="false" hidden="false" ht="12.1" outlineLevel="0" r="340">
      <c r="A340" s="5" t="s">
        <f>=HYPERLINK("https://www.leilaoonline.com.br/lote/detalhe/329560", "37685")</f>
      </c>
      <c r="B340" s="4" t="s">
        <f>=HYPERLINK("https://www.leilaoonline.com.br/lote/detalhe/329560", "TRANSFORMADORES 11 UNIDADES - PAT.086499/338628/208283 - LOC. SANTA HELENA")</f>
      </c>
      <c r="C340" s="4" t="inlineStr">
        <is>
          <t>Não vendido</t>
        </is>
      </c>
      <c r="D340" s="4" t="inlineStr">
        <is>
          <t>112</t>
        </is>
      </c>
      <c r="E340" s="5" t="inlineStr">
        <is>
          <t>220.000,00</t>
        </is>
      </c>
      <c r="F340" s="4" t="inlineStr">
        <is>
          <t>2000.00</t>
        </is>
      </c>
    </row>
    <row collapsed="false" customFormat="false" customHeight="false" hidden="false" ht="12.1" outlineLevel="0" r="341">
      <c r="A341" s="5" t="s">
        <f>=HYPERLINK("https://www.leilaoonline.com.br/lote/detalhe/329847", "37686")</f>
      </c>
      <c r="B341" s="4" t="s">
        <f>=HYPERLINK("https://www.leilaoonline.com.br/lote/detalhe/329847", "4 MÁQUINAS DE SOLDA E 2 REBITADEIRAS - LOC. BARRA")</f>
      </c>
      <c r="C341" s="4" t="inlineStr">
        <is>
          <t>Vendido</t>
        </is>
      </c>
      <c r="D341" s="4" t="inlineStr">
        <is>
          <t>27</t>
        </is>
      </c>
      <c r="E341" s="5" t="inlineStr">
        <is>
          <t>1.800,00</t>
        </is>
      </c>
      <c r="F341" s="4" t="inlineStr">
        <is>
          <t>100.00</t>
        </is>
      </c>
    </row>
    <row collapsed="false" customFormat="false" customHeight="false" hidden="false" ht="12.1" outlineLevel="0" r="342">
      <c r="A342" s="5" t="s">
        <f>=HYPERLINK("https://www.leilaoonline.com.br/lote/detalhe/329895", "37687")</f>
      </c>
      <c r="B342" s="4" t="s">
        <f>=HYPERLINK("https://www.leilaoonline.com.br/lote/detalhe/329895", "AQUECEDOR INOX, PESO APROXIMADO DE 8 TON. - LOC. BARRA ")</f>
      </c>
      <c r="C342" s="4" t="inlineStr">
        <is>
          <t>Vendido</t>
        </is>
      </c>
      <c r="D342" s="4" t="inlineStr">
        <is>
          <t>39</t>
        </is>
      </c>
      <c r="E342" s="5" t="inlineStr">
        <is>
          <t>27.000,00</t>
        </is>
      </c>
      <c r="F342" s="4" t="inlineStr">
        <is>
          <t>1000.00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2026-06-18T17:03:25.00Z</dcterms:created>
  <dc:creator>Tellks Tecnologia</dc:creator>
  <cp:revision>0</cp:revision>
</cp:coreProperties>
</file>