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2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Online.com.br</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4 CAMINHÕES • 14 TRATORES VALTRA E JD • EQUIPTOS INDUSTRIAIS • 9 COLHEDORAS • 16 TRANSBORDOS •</t>
        </is>
      </c>
      <c r="C6" s="4"/>
      <c r="D6" s="4"/>
      <c r="E6" s="4"/>
      <c r="F6" s="4"/>
    </row>
    <row collapsed="false" customFormat="false" customHeight="false" hidden="false" ht="12.1" outlineLevel="0" r="7">
      <c r="A7" s="3" t="inlineStr">
        <is>
          <t>Data</t>
        </is>
      </c>
      <c r="B7" s="4" t="inlineStr">
        <is>
          <t>19/08/2026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=HYPERLINK("https://www.leilaoonline.com.br/lote/detalhe/334155", "1705")</f>
      </c>
      <c r="B11" s="4" t="s">
        <f>=HYPERLINK("https://www.leilaoonline.com.br/lote/detalhe/334155", "PLANTADORA TMA, PTX 4000 - FR122359. - LOC. BONFIM ")</f>
      </c>
      <c r="C11" s="4" t="inlineStr">
        <is>
          <t>Não vendido</t>
        </is>
      </c>
      <c r="D11" s="4" t="inlineStr">
        <is>
          <t>0</t>
        </is>
      </c>
      <c r="E11" s="5" t="inlineStr">
        <is>
          <t>10.000,00</t>
        </is>
      </c>
      <c r="F11" s="4" t="inlineStr">
        <is>
          <t>1000.00</t>
        </is>
      </c>
    </row>
    <row collapsed="false" customFormat="false" customHeight="false" hidden="false" ht="12.1" outlineLevel="0" r="12">
      <c r="A12" s="5" t="s">
        <f>=HYPERLINK("https://www.leilaoonline.com.br/lote/detalhe/334375", "34178")</f>
      </c>
      <c r="B12" s="4" t="s">
        <f>=HYPERLINK("https://www.leilaoonline.com.br/lote/detalhe/334375", "01 CAIXA DE SOM CS5000, 01 MODULO DE MICROFONE SEM FIO, 01 MICROFONE - LOC. UNIVALEM/ VALPARAISO")</f>
      </c>
      <c r="C12" s="4" t="inlineStr">
        <is>
          <t>Vendido</t>
        </is>
      </c>
      <c r="D12" s="4" t="inlineStr">
        <is>
          <t>2</t>
        </is>
      </c>
      <c r="E12" s="5" t="inlineStr">
        <is>
          <t>400,00</t>
        </is>
      </c>
      <c r="F12" s="4" t="inlineStr">
        <is>
          <t>100.00</t>
        </is>
      </c>
    </row>
    <row collapsed="false" customFormat="false" customHeight="false" hidden="false" ht="12.1" outlineLevel="0" r="13">
      <c r="A13" s="5" t="s">
        <f>=HYPERLINK("https://www.leilaoonline.com.br/lote/detalhe/333994", "34212")</f>
      </c>
      <c r="B13" s="4" t="s">
        <f>=HYPERLINK("https://www.leilaoonline.com.br/lote/detalhe/333994", " APROX. 13 PNEUS, DIVERSAS MEDIDAS - VEJA DESCRITIVO DE ITENS - (ALMOXARIFADO) - LOC. BARRA")</f>
      </c>
      <c r="C13" s="4" t="inlineStr">
        <is>
          <t>Vendido</t>
        </is>
      </c>
      <c r="D13" s="4" t="inlineStr">
        <is>
          <t>13</t>
        </is>
      </c>
      <c r="E13" s="5" t="inlineStr">
        <is>
          <t>5.000,00</t>
        </is>
      </c>
      <c r="F13" s="4" t="inlineStr">
        <is>
          <t>250.00</t>
        </is>
      </c>
    </row>
    <row collapsed="false" customFormat="false" customHeight="false" hidden="false" ht="12.1" outlineLevel="0" r="14">
      <c r="A14" s="5" t="s">
        <f>=HYPERLINK("https://www.leilaoonline.com.br/lote/detalhe/334279", "34213")</f>
      </c>
      <c r="B14" s="4" t="s">
        <f>=HYPERLINK("https://www.leilaoonline.com.br/lote/detalhe/334279", "03 PNEUS AGRÍCOLAS, VEJA DESCRITIVO DE ITENS - LOC. PARAISO")</f>
      </c>
      <c r="C14" s="4" t="inlineStr">
        <is>
          <t>Não vendido</t>
        </is>
      </c>
      <c r="D14" s="4" t="inlineStr">
        <is>
          <t>0</t>
        </is>
      </c>
      <c r="E14" s="5" t="inlineStr">
        <is>
          <t>1.000,00</t>
        </is>
      </c>
      <c r="F14" s="4" t="inlineStr">
        <is>
          <t>500.00</t>
        </is>
      </c>
    </row>
    <row collapsed="false" customFormat="false" customHeight="false" hidden="false" ht="12.1" outlineLevel="0" r="15">
      <c r="A15" s="5" t="s">
        <f>=HYPERLINK("https://www.leilaoonline.com.br/lote/detalhe/334526", "34214")</f>
      </c>
      <c r="B15" s="4" t="s">
        <f>=HYPERLINK("https://www.leilaoonline.com.br/lote/detalhe/334526", "LOTE COM 2 BALANÇAS - LOC. BARRA")</f>
      </c>
      <c r="C15" s="4" t="inlineStr">
        <is>
          <t>Vendido</t>
        </is>
      </c>
      <c r="D15" s="4" t="inlineStr">
        <is>
          <t>1</t>
        </is>
      </c>
      <c r="E15" s="5" t="inlineStr">
        <is>
          <t>500,00</t>
        </is>
      </c>
      <c r="F15" s="4" t="inlineStr">
        <is>
          <t>100.00</t>
        </is>
      </c>
    </row>
    <row collapsed="false" customFormat="false" customHeight="false" hidden="false" ht="12.1" outlineLevel="0" r="16">
      <c r="A16" s="5" t="s">
        <f>=HYPERLINK("https://www.leilaoonline.com.br/lote/detalhe/334633", "34215")</f>
      </c>
      <c r="B16" s="4" t="s">
        <f>=HYPERLINK("https://www.leilaoonline.com.br/lote/detalhe/334633", "CAMINHÃO IVECO/DAILY 70C17HDCD; ANO 2014/2014; BRANCA. - FR163207 - LOC. JATAI ")</f>
      </c>
      <c r="C16" s="4" t="inlineStr">
        <is>
          <t>Não vendido</t>
        </is>
      </c>
      <c r="D16" s="4" t="inlineStr">
        <is>
          <t>20</t>
        </is>
      </c>
      <c r="E16" s="5" t="inlineStr">
        <is>
          <t>41.000,00</t>
        </is>
      </c>
      <c r="F16" s="4" t="inlineStr">
        <is>
          <t>1000.00</t>
        </is>
      </c>
    </row>
    <row collapsed="false" customFormat="false" customHeight="false" hidden="false" ht="12.1" outlineLevel="0" r="17">
      <c r="A17" s="5" t="s">
        <f>=HYPERLINK("https://www.leilaoonline.com.br/lote/detalhe/334634", "34216")</f>
      </c>
      <c r="B17" s="4" t="s">
        <f>=HYPERLINK("https://www.leilaoonline.com.br/lote/detalhe/334634", "PNEUS DIVERSOS -  LOC. JATAI ")</f>
      </c>
      <c r="C17" s="4" t="inlineStr">
        <is>
          <t>Vendido</t>
        </is>
      </c>
      <c r="D17" s="4" t="inlineStr">
        <is>
          <t>11</t>
        </is>
      </c>
      <c r="E17" s="5" t="inlineStr">
        <is>
          <t>7.500,00</t>
        </is>
      </c>
      <c r="F17" s="4" t="inlineStr">
        <is>
          <t>500.00</t>
        </is>
      </c>
    </row>
    <row collapsed="false" customFormat="false" customHeight="false" hidden="false" ht="12.1" outlineLevel="0" r="18">
      <c r="A18" s="5" t="s">
        <f>=HYPERLINK("https://www.leilaoonline.com.br/lote/detalhe/334636", "34217")</f>
      </c>
      <c r="B18" s="4" t="s">
        <f>=HYPERLINK("https://www.leilaoonline.com.br/lote/detalhe/334636", "DOLLY USICAMP; ANO 2008. - FR98018 - LOC. JATAI ")</f>
      </c>
      <c r="C18" s="4" t="inlineStr">
        <is>
          <t>Não vendido</t>
        </is>
      </c>
      <c r="D18" s="4" t="inlineStr">
        <is>
          <t>6</t>
        </is>
      </c>
      <c r="E18" s="5" t="inlineStr">
        <is>
          <t>7.500,00</t>
        </is>
      </c>
      <c r="F18" s="4" t="inlineStr">
        <is>
          <t>500.00</t>
        </is>
      </c>
    </row>
    <row collapsed="false" customFormat="false" customHeight="false" hidden="false" ht="12.1" outlineLevel="0" r="19">
      <c r="A19" s="5" t="s">
        <f>=HYPERLINK("https://www.leilaoonline.com.br/lote/detalhe/334637", "34218")</f>
      </c>
      <c r="B19" s="4" t="s">
        <f>=HYPERLINK("https://www.leilaoonline.com.br/lote/detalhe/334637", "GRADE NIVELADORA MODELO GNCF 48; ANO 2009. - FR165246 - LOC. JATAI ")</f>
      </c>
      <c r="C19" s="4" t="inlineStr">
        <is>
          <t>Vendido</t>
        </is>
      </c>
      <c r="D19" s="4" t="inlineStr">
        <is>
          <t>2</t>
        </is>
      </c>
      <c r="E19" s="5" t="inlineStr">
        <is>
          <t>3.000,00</t>
        </is>
      </c>
      <c r="F19" s="4" t="inlineStr">
        <is>
          <t>500.00</t>
        </is>
      </c>
    </row>
    <row collapsed="false" customFormat="false" customHeight="false" hidden="false" ht="12.1" outlineLevel="0" r="20">
      <c r="A20" s="5" t="s">
        <f>=HYPERLINK("https://www.leilaoonline.com.br/lote/detalhe/334639", "34219")</f>
      </c>
      <c r="B20" s="4" t="s">
        <f>=HYPERLINK("https://www.leilaoonline.com.br/lote/detalhe/334639", "ROLOS DE GEOMEMBRANA  E MANTA - LOC. JATAI ")</f>
      </c>
      <c r="C20" s="4" t="inlineStr">
        <is>
          <t>Não vendido</t>
        </is>
      </c>
      <c r="D20" s="4" t="inlineStr">
        <is>
          <t>18</t>
        </is>
      </c>
      <c r="E20" s="5" t="inlineStr">
        <is>
          <t>9.500,00</t>
        </is>
      </c>
      <c r="F20" s="4" t="inlineStr">
        <is>
          <t>500.00</t>
        </is>
      </c>
    </row>
    <row collapsed="false" customFormat="false" customHeight="false" hidden="false" ht="12.1" outlineLevel="0" r="21">
      <c r="A21" s="5" t="s">
        <f>=HYPERLINK("https://www.leilaoonline.com.br/lote/detalhe/334640", "34220")</f>
      </c>
      <c r="B21" s="4" t="s">
        <f>=HYPERLINK("https://www.leilaoonline.com.br/lote/detalhe/334640", "ESTRUTURA DE VIVEIRO COM 15 MTS DE LARG. POR 20 M DE COMPR., COM VIVEIROS DE 20 M, APROX. 1.000 BANDEJAS DE MUDAS. O LOCAL POSSUI 5 CAIXAS-D’ÁGUA, SENDO: 2 DE 5.000 L; 2 DE 2.000 L , E 1 DE 1.000 L. - LOC. JATAI")</f>
      </c>
      <c r="C21" s="4" t="inlineStr">
        <is>
          <t>Vendido</t>
        </is>
      </c>
      <c r="D21" s="4" t="inlineStr">
        <is>
          <t>27</t>
        </is>
      </c>
      <c r="E21" s="5" t="inlineStr">
        <is>
          <t>18.000,00</t>
        </is>
      </c>
      <c r="F21" s="4" t="inlineStr">
        <is>
          <t>1000.00</t>
        </is>
      </c>
    </row>
    <row collapsed="false" customFormat="false" customHeight="false" hidden="false" ht="12.1" outlineLevel="0" r="22">
      <c r="A22" s="5" t="s">
        <f>=HYPERLINK("https://www.leilaoonline.com.br/lote/detalhe/334641", "34221")</f>
      </c>
      <c r="B22" s="4" t="s">
        <f>=HYPERLINK("https://www.leilaoonline.com.br/lote/detalhe/334641", "CONEXÕES E ADIABÁTICOS DE FIBRA SUCATEADOS - LOC. JATAI")</f>
      </c>
      <c r="C22" s="4" t="inlineStr">
        <is>
          <t>Não vendido</t>
        </is>
      </c>
      <c r="D22" s="4" t="inlineStr">
        <is>
          <t>0</t>
        </is>
      </c>
      <c r="E22" s="5" t="inlineStr">
        <is>
          <t>100,00</t>
        </is>
      </c>
      <c r="F22" s="4" t="inlineStr">
        <is>
          <t>100.00</t>
        </is>
      </c>
    </row>
    <row collapsed="false" customFormat="false" customHeight="false" hidden="false" ht="12.1" outlineLevel="0" r="23">
      <c r="A23" s="5" t="s">
        <f>=HYPERLINK("https://www.leilaoonline.com.br/lote/detalhe/334672", "34222")</f>
      </c>
      <c r="B23" s="4" t="s">
        <f>=HYPERLINK("https://www.leilaoonline.com.br/lote/detalhe/334672", "APROX. 02 AG-815, 68 RÁDIO AG-715, 72 RÁDIO RTK JD, 03 RÁDIO TRIMBLE AG820, 01 DISPLAY TMA, 01 SIERRA WLRELESS, 01 RATE &amp; SECTION, 01 PAINEL CONTROLE IKEDA, 05 MODULO ATIVA - LOC. BONFIM")</f>
      </c>
      <c r="C23" s="4" t="inlineStr">
        <is>
          <t>Vendido</t>
        </is>
      </c>
      <c r="D23" s="4" t="inlineStr">
        <is>
          <t>1</t>
        </is>
      </c>
      <c r="E23" s="5" t="inlineStr">
        <is>
          <t>1.000,00</t>
        </is>
      </c>
      <c r="F23" s="4" t="inlineStr">
        <is>
          <t>250.00</t>
        </is>
      </c>
    </row>
    <row collapsed="false" customFormat="false" customHeight="false" hidden="false" ht="12.1" outlineLevel="0" r="24">
      <c r="A24" s="5" t="s">
        <f>=HYPERLINK("https://www.leilaoonline.com.br/lote/detalhe/334675", "34223")</f>
      </c>
      <c r="B24" s="4" t="s">
        <f>=HYPERLINK("https://www.leilaoonline.com.br/lote/detalhe/334675", " APROX.90 ANTENA BASTÃO, 11 ANTENA VHF 5/8 DE ONDA, 01 SUPORTE ANTENA COLINEAR ARS 100/4, 07 BASE RTK - LOC. BONFIM")</f>
      </c>
      <c r="C24" s="4" t="inlineStr">
        <is>
          <t>Vendido</t>
        </is>
      </c>
      <c r="D24" s="4" t="inlineStr">
        <is>
          <t>5</t>
        </is>
      </c>
      <c r="E24" s="5" t="inlineStr">
        <is>
          <t>3.000,00</t>
        </is>
      </c>
      <c r="F24" s="4" t="inlineStr">
        <is>
          <t>500.00</t>
        </is>
      </c>
    </row>
    <row collapsed="false" customFormat="false" customHeight="false" hidden="false" ht="12.1" outlineLevel="0" r="25">
      <c r="A25" s="5" t="s">
        <f>=HYPERLINK("https://www.leilaoonline.com.br/lote/detalhe/334676", "34224")</f>
      </c>
      <c r="B25" s="4" t="s">
        <f>=HYPERLINK("https://www.leilaoonline.com.br/lote/detalhe/334676", " APROX.42 PLACA DE RÁDIO PORTÁTIL, 01 RÁDIO PRO3100, 03 RÁDIO PRO5150, 01 RÁDIO DGM 8500, 02 RÁDIO DGP 8050E, RÁDIO DEM300, 30 RÁDIOEP450, 02 RÁDIO DEP 450, 08 RÁDIO PRO3150 - LOC. BONFIM")</f>
      </c>
      <c r="C25" s="4" t="inlineStr">
        <is>
          <t>Vendido</t>
        </is>
      </c>
      <c r="D25" s="4" t="inlineStr">
        <is>
          <t>16</t>
        </is>
      </c>
      <c r="E25" s="5" t="inlineStr">
        <is>
          <t>5.000,00</t>
        </is>
      </c>
      <c r="F25" s="4" t="inlineStr">
        <is>
          <t>250.00</t>
        </is>
      </c>
    </row>
    <row collapsed="false" customFormat="false" customHeight="false" hidden="false" ht="12.1" outlineLevel="0" r="26">
      <c r="A26" s="5" t="s">
        <f>=HYPERLINK("https://www.leilaoonline.com.br/lote/detalhe/334677", "34225")</f>
      </c>
      <c r="B26" s="4" t="s">
        <f>=HYPERLINK("https://www.leilaoonline.com.br/lote/detalhe/334677", " APROX.05 AUTEQ, 40 MAG300 - LOC. BONFIM")</f>
      </c>
      <c r="C26" s="4" t="inlineStr">
        <is>
          <t>Vendido</t>
        </is>
      </c>
      <c r="D26" s="4" t="inlineStr">
        <is>
          <t>1</t>
        </is>
      </c>
      <c r="E26" s="5" t="inlineStr">
        <is>
          <t>3.000,00</t>
        </is>
      </c>
      <c r="F26" s="4" t="inlineStr">
        <is>
          <t>500.00</t>
        </is>
      </c>
    </row>
    <row collapsed="false" customFormat="false" customHeight="false" hidden="false" ht="12.1" outlineLevel="0" r="27">
      <c r="A27" s="5" t="s">
        <f>=HYPERLINK("https://www.leilaoonline.com.br/lote/detalhe/334681", "34226")</f>
      </c>
      <c r="B27" s="4" t="s">
        <f>=HYPERLINK("https://www.leilaoonline.com.br/lote/detalhe/334681", " SIMULADOR MAP (MÓDULO DE APRENDIZAGEM PRÁTICA) - LOC. BONFIM")</f>
      </c>
      <c r="C27" s="4" t="inlineStr">
        <is>
          <t>Não vendido</t>
        </is>
      </c>
      <c r="D27" s="4" t="inlineStr">
        <is>
          <t>1</t>
        </is>
      </c>
      <c r="E27" s="5" t="inlineStr">
        <is>
          <t>3.000,00</t>
        </is>
      </c>
      <c r="F27" s="4" t="inlineStr">
        <is>
          <t>500.00</t>
        </is>
      </c>
    </row>
    <row collapsed="false" customFormat="false" customHeight="false" hidden="false" ht="12.1" outlineLevel="0" r="28">
      <c r="A28" s="5" t="s">
        <f>=HYPERLINK("https://www.leilaoonline.com.br/lote/detalhe/334680", "34227")</f>
      </c>
      <c r="B28" s="4" t="s">
        <f>=HYPERLINK("https://www.leilaoonline.com.br/lote/detalhe/334680", " APROX.09 CARREGADOR BATERIA, 08 DRIVE EXPANSÃO SOLINFTEC, 06 FONTE CARREGADOR, 01 INTERFACE RS, 01 INVERSOR, 03 MODEM SATELITAL, 01 RECEPTOR SATELITAL, 01 SLINFTEC M7, 01 SOLINFTEC STRATUS - LOC. BONFIM")</f>
      </c>
      <c r="C28" s="4" t="inlineStr">
        <is>
          <t>Não vendido</t>
        </is>
      </c>
      <c r="D28" s="4" t="inlineStr">
        <is>
          <t>0</t>
        </is>
      </c>
      <c r="E28" s="5" t="inlineStr">
        <is>
          <t>1.000,00</t>
        </is>
      </c>
      <c r="F28" s="4" t="inlineStr">
        <is>
          <t>500.00</t>
        </is>
      </c>
    </row>
    <row collapsed="false" customFormat="false" customHeight="false" hidden="false" ht="12.1" outlineLevel="0" r="29">
      <c r="A29" s="5" t="s">
        <f>=HYPERLINK("https://www.leilaoonline.com.br/lote/detalhe/334678", "34228")</f>
      </c>
      <c r="B29" s="4" t="s">
        <f>=HYPERLINK("https://www.leilaoonline.com.br/lote/detalhe/334678", " 01 NOTEBOOK DELL LATITUDE E5510, 02 NOTEBOOK DELL VOSTRO - LOC. BONFIM")</f>
      </c>
      <c r="C29" s="4" t="inlineStr">
        <is>
          <t>Vendido</t>
        </is>
      </c>
      <c r="D29" s="4" t="inlineStr">
        <is>
          <t>1</t>
        </is>
      </c>
      <c r="E29" s="5" t="inlineStr">
        <is>
          <t>1.000,00</t>
        </is>
      </c>
      <c r="F29" s="4" t="inlineStr">
        <is>
          <t>500.00</t>
        </is>
      </c>
    </row>
    <row collapsed="false" customFormat="false" customHeight="false" hidden="false" ht="12.1" outlineLevel="0" r="30">
      <c r="A30" s="5" t="s">
        <f>=HYPERLINK("https://www.leilaoonline.com.br/lote/detalhe/334679", "34229")</f>
      </c>
      <c r="B30" s="4" t="s">
        <f>=HYPERLINK("https://www.leilaoonline.com.br/lote/detalhe/334679", " 01 IMPRESSORA EASY, 01 PLASTIFICADORA - LOC. BONFIM")</f>
      </c>
      <c r="C30" s="4" t="inlineStr">
        <is>
          <t>Não vendido</t>
        </is>
      </c>
      <c r="D30" s="4" t="inlineStr">
        <is>
          <t>0</t>
        </is>
      </c>
      <c r="E30" s="5" t="inlineStr">
        <is>
          <t>1.000,00</t>
        </is>
      </c>
      <c r="F30" s="4" t="inlineStr">
        <is>
          <t>500.00</t>
        </is>
      </c>
    </row>
    <row collapsed="false" customFormat="false" customHeight="false" hidden="false" ht="12.1" outlineLevel="0" r="31">
      <c r="A31" s="5" t="s">
        <f>=HYPERLINK("https://www.leilaoonline.com.br/lote/detalhe/334682", "34230")</f>
      </c>
      <c r="B31" s="4" t="s">
        <f>=HYPERLINK("https://www.leilaoonline.com.br/lote/detalhe/334682", " APROX.15 CAIXA ALPROX, 08 CAIXA PASSAGEM, 15 POWER BANK - LOC. BONFIM")</f>
      </c>
      <c r="C31" s="4" t="inlineStr">
        <is>
          <t>Não vendido</t>
        </is>
      </c>
      <c r="D31" s="4" t="inlineStr">
        <is>
          <t>0</t>
        </is>
      </c>
      <c r="E31" s="5" t="inlineStr">
        <is>
          <t>1.000,00</t>
        </is>
      </c>
      <c r="F31" s="4" t="inlineStr">
        <is>
          <t>500.00</t>
        </is>
      </c>
    </row>
    <row collapsed="false" customFormat="false" customHeight="false" hidden="false" ht="12.1" outlineLevel="0" r="32">
      <c r="A32" s="5" t="s">
        <f>=HYPERLINK("https://www.leilaoonline.com.br/lote/detalhe/334685", "34231")</f>
      </c>
      <c r="B32" s="4" t="s">
        <f>=HYPERLINK("https://www.leilaoonline.com.br/lote/detalhe/334685", "APROX. 670 EQUIPAMENTOS DE INFORMÁTICA - (VEJA DESCRITIVO DE ITENS) - LOC. FARIA LIMA - SÃO PAULO/SP")</f>
      </c>
      <c r="C32" s="4" t="inlineStr">
        <is>
          <t>Não vendido</t>
        </is>
      </c>
      <c r="D32" s="4" t="inlineStr">
        <is>
          <t>0</t>
        </is>
      </c>
      <c r="E32" s="5" t="inlineStr">
        <is>
          <t>300.000,00</t>
        </is>
      </c>
      <c r="F32" s="4" t="inlineStr">
        <is>
          <t>1000.00</t>
        </is>
      </c>
    </row>
    <row collapsed="false" customFormat="false" customHeight="false" hidden="false" ht="12.1" outlineLevel="0" r="33">
      <c r="A33" s="5" t="s">
        <f>=HYPERLINK("https://www.leilaoonline.com.br/lote/detalhe/334686", "34232")</f>
      </c>
      <c r="B33" s="4" t="s">
        <f>=HYPERLINK("https://www.leilaoonline.com.br/lote/detalhe/334686", "APROX. 567 EQUIPAMENTOS DE INFORMÁTICA - (VEJA DESCRITIVO DE ITENS) - LOC. PIRACICABA - COSTA PINTO")</f>
      </c>
      <c r="C33" s="4" t="inlineStr">
        <is>
          <t>Não vendido</t>
        </is>
      </c>
      <c r="D33" s="4" t="inlineStr">
        <is>
          <t>0</t>
        </is>
      </c>
      <c r="E33" s="5" t="inlineStr">
        <is>
          <t>200.000,00</t>
        </is>
      </c>
      <c r="F33" s="4" t="inlineStr">
        <is>
          <t>1000.00</t>
        </is>
      </c>
    </row>
    <row collapsed="false" customFormat="false" customHeight="false" hidden="false" ht="12.1" outlineLevel="0" r="34">
      <c r="A34" s="5" t="s">
        <f>=HYPERLINK("https://www.leilaoonline.com.br/lote/detalhe/334235", "35531")</f>
      </c>
      <c r="B34" s="4" t="s">
        <f>=HYPERLINK("https://www.leilaoonline.com.br/lote/detalhe/334235", " 02 AR-CONDICIONADO TCL, 01 AR-CONDICIONADO PHILCO - LOC. DESTIVALE")</f>
      </c>
      <c r="C34" s="4" t="inlineStr">
        <is>
          <t>Vendido</t>
        </is>
      </c>
      <c r="D34" s="4" t="inlineStr">
        <is>
          <t>3</t>
        </is>
      </c>
      <c r="E34" s="5" t="inlineStr">
        <is>
          <t>1.750,00</t>
        </is>
      </c>
      <c r="F34" s="4" t="inlineStr">
        <is>
          <t>250.00</t>
        </is>
      </c>
    </row>
    <row collapsed="false" customFormat="false" customHeight="false" hidden="false" ht="12.1" outlineLevel="0" r="35">
      <c r="A35" s="5" t="s">
        <f>=HYPERLINK("https://www.leilaoonline.com.br/lote/detalhe/334416", "35565")</f>
      </c>
      <c r="B35" s="4" t="s">
        <f>=HYPERLINK("https://www.leilaoonline.com.br/lote/detalhe/334416", "EQUIPAMENTOS LABORATÓRIO (01 CONDUTIVIMETRO, 01 REFRATOMETRO, 01 CORTADOR DE COLONIA, 04 TRD)- LOC. GASA")</f>
      </c>
      <c r="C35" s="4" t="inlineStr">
        <is>
          <t>Vendido</t>
        </is>
      </c>
      <c r="D35" s="4" t="inlineStr">
        <is>
          <t>1</t>
        </is>
      </c>
      <c r="E35" s="5" t="inlineStr">
        <is>
          <t>500,00</t>
        </is>
      </c>
      <c r="F35" s="4" t="inlineStr">
        <is>
          <t>250.00</t>
        </is>
      </c>
    </row>
    <row collapsed="false" customFormat="false" customHeight="false" hidden="false" ht="12.1" outlineLevel="0" r="36">
      <c r="A36" s="5" t="s">
        <f>=HYPERLINK("https://www.leilaoonline.com.br/lote/detalhe/333803", "35763")</f>
      </c>
      <c r="B36" s="4" t="s">
        <f>=HYPERLINK("https://www.leilaoonline.com.br/lote/detalhe/333803", " PLANTADEIRA. - FR20330. - LOC. DIAMANTE ")</f>
      </c>
      <c r="C36" s="4" t="inlineStr">
        <is>
          <t>Não vendido</t>
        </is>
      </c>
      <c r="D36" s="4" t="inlineStr">
        <is>
          <t>0</t>
        </is>
      </c>
      <c r="E36" s="5" t="inlineStr">
        <is>
          <t>10.000,00</t>
        </is>
      </c>
      <c r="F36" s="4" t="inlineStr">
        <is>
          <t>1000.00</t>
        </is>
      </c>
    </row>
    <row collapsed="false" customFormat="false" customHeight="false" hidden="false" ht="12.1" outlineLevel="0" r="37">
      <c r="A37" s="5" t="s">
        <f>=HYPERLINK("https://www.leilaoonline.com.br/lote/detalhe/333832", "36125")</f>
      </c>
      <c r="B37" s="4" t="s">
        <f>=HYPERLINK("https://www.leilaoonline.com.br/lote/detalhe/333832", " TROCADOR DE CALOR. - LOC. PARAGUAÇU")</f>
      </c>
      <c r="C37" s="4" t="inlineStr">
        <is>
          <t>Não vendido</t>
        </is>
      </c>
      <c r="D37" s="4" t="inlineStr">
        <is>
          <t>0</t>
        </is>
      </c>
      <c r="E37" s="5" t="inlineStr">
        <is>
          <t>2.500,00</t>
        </is>
      </c>
      <c r="F37" s="4" t="inlineStr">
        <is>
          <t>500.00</t>
        </is>
      </c>
    </row>
    <row collapsed="false" customFormat="false" customHeight="false" hidden="false" ht="12.1" outlineLevel="0" r="38">
      <c r="A38" s="5" t="s">
        <f>=HYPERLINK("https://www.leilaoonline.com.br/lote/detalhe/333831", "36126")</f>
      </c>
      <c r="B38" s="4" t="s">
        <f>=HYPERLINK("https://www.leilaoonline.com.br/lote/detalhe/333831", " PAR DE CABEÇOTES HIDRÁULICOS FHREMI. - LOC. PARAGUAÇU")</f>
      </c>
      <c r="C38" s="4" t="inlineStr">
        <is>
          <t>Não vendido</t>
        </is>
      </c>
      <c r="D38" s="4" t="inlineStr">
        <is>
          <t>0</t>
        </is>
      </c>
      <c r="E38" s="5" t="inlineStr">
        <is>
          <t>2.500,00</t>
        </is>
      </c>
      <c r="F38" s="4" t="inlineStr">
        <is>
          <t>500.00</t>
        </is>
      </c>
    </row>
    <row collapsed="false" customFormat="false" customHeight="false" hidden="false" ht="12.1" outlineLevel="0" r="39">
      <c r="A39" s="5" t="s">
        <f>=HYPERLINK("https://www.leilaoonline.com.br/lote/detalhe/334236", "36223")</f>
      </c>
      <c r="B39" s="4" t="s">
        <f>=HYPERLINK("https://www.leilaoonline.com.br/lote/detalhe/334236", "02 FREEZER METALFRIO, 01 MICROONDAS PANASONIC, 01 BEBEDOURO DE AGUA, 01 TANQUINHO COLORMAQ E OUTROS - LOC. DESTIVALE")</f>
      </c>
      <c r="C39" s="4" t="inlineStr">
        <is>
          <t>Vendido</t>
        </is>
      </c>
      <c r="D39" s="4" t="inlineStr">
        <is>
          <t>1</t>
        </is>
      </c>
      <c r="E39" s="5" t="inlineStr">
        <is>
          <t>1.000,00</t>
        </is>
      </c>
      <c r="F39" s="4" t="inlineStr">
        <is>
          <t>250.00</t>
        </is>
      </c>
    </row>
    <row collapsed="false" customFormat="false" customHeight="false" hidden="false" ht="12.1" outlineLevel="0" r="40">
      <c r="A40" s="5" t="s">
        <f>=HYPERLINK("https://www.leilaoonline.com.br/lote/detalhe/333830", "36719")</f>
      </c>
      <c r="B40" s="4" t="s">
        <f>=HYPERLINK("https://www.leilaoonline.com.br/lote/detalhe/333830", " MESA ALIMENTADORA E ESTEIRA CUSH CUSH COM REDUTOR E MOTOR DE ACIONAMENTO CUSH-CUSH MOENDA 01, MOTOR 15 CV 6 POLOS. - LOC. PARAGUAÇU")</f>
      </c>
      <c r="C40" s="4" t="inlineStr">
        <is>
          <t>Não vendido</t>
        </is>
      </c>
      <c r="D40" s="4" t="inlineStr">
        <is>
          <t>0</t>
        </is>
      </c>
      <c r="E40" s="5" t="inlineStr">
        <is>
          <t>10.000,00</t>
        </is>
      </c>
      <c r="F40" s="4" t="inlineStr">
        <is>
          <t>500.00</t>
        </is>
      </c>
    </row>
    <row collapsed="false" customFormat="false" customHeight="false" hidden="false" ht="12.1" outlineLevel="0" r="41">
      <c r="A41" s="5" t="s">
        <f>=HYPERLINK("https://www.leilaoonline.com.br/lote/detalhe/333828", "36720")</f>
      </c>
      <c r="B41" s="4" t="s">
        <f>=HYPERLINK("https://www.leilaoonline.com.br/lote/detalhe/333828", " GARRAFA HIDRÁULICA MOENDA 54. - LOC. PARAGUAÇU")</f>
      </c>
      <c r="C41" s="4" t="inlineStr">
        <is>
          <t>Não vendido</t>
        </is>
      </c>
      <c r="D41" s="4" t="inlineStr">
        <is>
          <t>0</t>
        </is>
      </c>
      <c r="E41" s="5" t="inlineStr">
        <is>
          <t>5.000,00</t>
        </is>
      </c>
      <c r="F41" s="4" t="inlineStr">
        <is>
          <t>500.00</t>
        </is>
      </c>
    </row>
    <row collapsed="false" customFormat="false" customHeight="false" hidden="false" ht="12.1" outlineLevel="0" r="42">
      <c r="A42" s="5" t="s">
        <f>=HYPERLINK("https://www.leilaoonline.com.br/lote/detalhe/333829", "36722")</f>
      </c>
      <c r="B42" s="4" t="s">
        <f>=HYPERLINK("https://www.leilaoonline.com.br/lote/detalhe/333829", " CONJUNTO DE ACIONAMENTO DE ESTEIRA METÁLICA (MOTOR, REDUTOR E ENGRENAGEM). - LOC. PARAGUAÇU")</f>
      </c>
      <c r="C42" s="4" t="inlineStr">
        <is>
          <t>Não vendido</t>
        </is>
      </c>
      <c r="D42" s="4" t="inlineStr">
        <is>
          <t>13</t>
        </is>
      </c>
      <c r="E42" s="5" t="inlineStr">
        <is>
          <t>8.000,00</t>
        </is>
      </c>
      <c r="F42" s="4" t="inlineStr">
        <is>
          <t>500.00</t>
        </is>
      </c>
    </row>
    <row collapsed="false" customFormat="false" customHeight="false" hidden="false" ht="12.1" outlineLevel="0" r="43">
      <c r="A43" s="5" t="s">
        <f>=HYPERLINK("https://www.leilaoonline.com.br/lote/detalhe/333839", "36776")</f>
      </c>
      <c r="B43" s="4" t="s">
        <f>=HYPERLINK("https://www.leilaoonline.com.br/lote/detalhe/333839", " HILO MOENDA COM REDUTOR SUCATEADO. - PT.155770. - LOC. PARAGUAÇU")</f>
      </c>
      <c r="C43" s="4" t="inlineStr">
        <is>
          <t>Não vendido</t>
        </is>
      </c>
      <c r="D43" s="4" t="inlineStr">
        <is>
          <t>0</t>
        </is>
      </c>
      <c r="E43" s="5" t="inlineStr">
        <is>
          <t>50.000,00</t>
        </is>
      </c>
      <c r="F43" s="4" t="inlineStr">
        <is>
          <t>2000.00</t>
        </is>
      </c>
    </row>
    <row collapsed="false" customFormat="false" customHeight="false" hidden="false" ht="12.1" outlineLevel="0" r="44">
      <c r="A44" s="5" t="s">
        <f>=HYPERLINK("https://www.leilaoonline.com.br/lote/detalhe/333954", "36785")</f>
      </c>
      <c r="B44" s="4" t="s">
        <f>=HYPERLINK("https://www.leilaoonline.com.br/lote/detalhe/333954", " ADUBADOR. - N/E - LOC. GASA ")</f>
      </c>
      <c r="C44" s="4" t="inlineStr">
        <is>
          <t>Não vendido</t>
        </is>
      </c>
      <c r="D44" s="4" t="inlineStr">
        <is>
          <t>0</t>
        </is>
      </c>
      <c r="E44" s="5" t="inlineStr">
        <is>
          <t>1.000,00</t>
        </is>
      </c>
      <c r="F44" s="4" t="inlineStr">
        <is>
          <t>500.00</t>
        </is>
      </c>
    </row>
    <row collapsed="false" customFormat="false" customHeight="false" hidden="false" ht="12.1" outlineLevel="0" r="45">
      <c r="A45" s="5" t="s">
        <f>=HYPERLINK("https://www.leilaoonline.com.br/lote/detalhe/334511", "36803")</f>
      </c>
      <c r="B45" s="4" t="s">
        <f>=HYPERLINK("https://www.leilaoonline.com.br/lote/detalhe/334511", "TRATOR CASE PUMA 200 4X4; ANO 2016. - FR512055. - LOC. LAGOA DA PRATA ")</f>
      </c>
      <c r="C45" s="4" t="inlineStr">
        <is>
          <t>Não vendido</t>
        </is>
      </c>
      <c r="D45" s="4" t="inlineStr">
        <is>
          <t>9</t>
        </is>
      </c>
      <c r="E45" s="5" t="inlineStr">
        <is>
          <t>33.000,00</t>
        </is>
      </c>
      <c r="F45" s="4" t="inlineStr">
        <is>
          <t>1000.00</t>
        </is>
      </c>
    </row>
    <row collapsed="false" customFormat="false" customHeight="false" hidden="false" ht="12.1" outlineLevel="0" r="46">
      <c r="A46" s="5" t="s">
        <f>=HYPERLINK("https://www.leilaoonline.com.br/lote/detalhe/334643", "36812")</f>
      </c>
      <c r="B46" s="4" t="s">
        <f>=HYPERLINK("https://www.leilaoonline.com.br/lote/detalhe/334643", "TRATOR CASE PUMA 200 4X4 - ANO 2016 - FR512046 - LOC. LAGOA DA PRATA    ")</f>
      </c>
      <c r="C46" s="4" t="inlineStr">
        <is>
          <t>Não vendido</t>
        </is>
      </c>
      <c r="D46" s="4" t="inlineStr">
        <is>
          <t>9</t>
        </is>
      </c>
      <c r="E46" s="5" t="inlineStr">
        <is>
          <t>58.000,00</t>
        </is>
      </c>
      <c r="F46" s="4" t="inlineStr">
        <is>
          <t>1000.00</t>
        </is>
      </c>
    </row>
    <row collapsed="false" customFormat="false" customHeight="false" hidden="false" ht="12.1" outlineLevel="0" r="47">
      <c r="A47" s="5" t="s">
        <f>=HYPERLINK("https://www.leilaoonline.com.br/lote/detalhe/334085", "36838")</f>
      </c>
      <c r="B47" s="4" t="s">
        <f>=HYPERLINK("https://www.leilaoonline.com.br/lote/detalhe/334085", "TRANSBORDO S.IZABEL TRIDEM 13T; ANO 2014. - FR11003063. - LOC. VALE DO ROSÁRIO ")</f>
      </c>
      <c r="C47" s="4" t="inlineStr">
        <is>
          <t>Vendido</t>
        </is>
      </c>
      <c r="D47" s="4" t="inlineStr">
        <is>
          <t>9</t>
        </is>
      </c>
      <c r="E47" s="5" t="inlineStr">
        <is>
          <t>18.000,00</t>
        </is>
      </c>
      <c r="F47" s="4" t="inlineStr">
        <is>
          <t>1000.00</t>
        </is>
      </c>
    </row>
    <row collapsed="false" customFormat="false" customHeight="false" hidden="false" ht="12.1" outlineLevel="0" r="48">
      <c r="A48" s="5" t="s">
        <f>=HYPERLINK("https://www.leilaoonline.com.br/lote/detalhe/334421", "36845")</f>
      </c>
      <c r="B48" s="4" t="s">
        <f>=HYPERLINK("https://www.leilaoonline.com.br/lote/detalhe/334421", " PULVERIZADOR HERBICAT.  N/E - LOC. UNIVALEM ")</f>
      </c>
      <c r="C48" s="4" t="inlineStr">
        <is>
          <t>Não vendido</t>
        </is>
      </c>
      <c r="D48" s="4" t="inlineStr">
        <is>
          <t>0</t>
        </is>
      </c>
      <c r="E48" s="5" t="inlineStr">
        <is>
          <t>1.000,00</t>
        </is>
      </c>
      <c r="F48" s="4" t="inlineStr">
        <is>
          <t>250.00</t>
        </is>
      </c>
    </row>
    <row collapsed="false" customFormat="false" customHeight="false" hidden="false" ht="12.1" outlineLevel="0" r="49">
      <c r="A49" s="5" t="s">
        <f>=HYPERLINK("https://www.leilaoonline.com.br/lote/detalhe/334629", "36870")</f>
      </c>
      <c r="B49" s="4" t="s">
        <f>=HYPERLINK("https://www.leilaoonline.com.br/lote/detalhe/334629", "SEMI-REBOQUE/TECTRAN ; ANO 1994/1994; AZUL. - FR96065 - LOC. JATAI")</f>
      </c>
      <c r="C49" s="4" t="inlineStr">
        <is>
          <t>Vendido</t>
        </is>
      </c>
      <c r="D49" s="4" t="inlineStr">
        <is>
          <t>39</t>
        </is>
      </c>
      <c r="E49" s="5" t="inlineStr">
        <is>
          <t>58.000,00</t>
        </is>
      </c>
      <c r="F49" s="4" t="inlineStr">
        <is>
          <t>1000.00</t>
        </is>
      </c>
    </row>
    <row collapsed="false" customFormat="false" customHeight="false" hidden="false" ht="12.1" outlineLevel="0" r="50">
      <c r="A50" s="5" t="s">
        <f>=HYPERLINK("https://www.leilaoonline.com.br/lote/detalhe/334661", "37114")</f>
      </c>
      <c r="B50" s="4" t="s">
        <f>=HYPERLINK("https://www.leilaoonline.com.br/lote/detalhe/334661", " PLANTADORA CANA AUTOMÁTICA DMB; ANO 2013. - FR8003195 - LOC. LAGOA DA PRATA ")</f>
      </c>
      <c r="C50" s="4" t="inlineStr">
        <is>
          <t>Vendido</t>
        </is>
      </c>
      <c r="D50" s="4" t="inlineStr">
        <is>
          <t>1</t>
        </is>
      </c>
      <c r="E50" s="5" t="inlineStr">
        <is>
          <t>10.000,00</t>
        </is>
      </c>
      <c r="F50" s="4" t="inlineStr">
        <is>
          <t>1000.00</t>
        </is>
      </c>
    </row>
    <row collapsed="false" customFormat="false" customHeight="false" hidden="false" ht="12.1" outlineLevel="0" r="51">
      <c r="A51" s="5" t="s">
        <f>=HYPERLINK("https://www.leilaoonline.com.br/lote/detalhe/334660", "37115")</f>
      </c>
      <c r="B51" s="4" t="s">
        <f>=HYPERLINK("https://www.leilaoonline.com.br/lote/detalhe/334660", " PLANTADORA CANA AUTOMÁTICA DMB; ANO 2013. - FR8003196 - LOC. LAGOA DA PRATA ")</f>
      </c>
      <c r="C51" s="4" t="inlineStr">
        <is>
          <t>Vendido</t>
        </is>
      </c>
      <c r="D51" s="4" t="inlineStr">
        <is>
          <t>1</t>
        </is>
      </c>
      <c r="E51" s="5" t="inlineStr">
        <is>
          <t>10.000,00</t>
        </is>
      </c>
      <c r="F51" s="4" t="inlineStr">
        <is>
          <t>1000.00</t>
        </is>
      </c>
    </row>
    <row collapsed="false" customFormat="false" customHeight="false" hidden="false" ht="12.1" outlineLevel="0" r="52">
      <c r="A52" s="5" t="s">
        <f>=HYPERLINK("https://www.leilaoonline.com.br/lote/detalhe/334659", "37116")</f>
      </c>
      <c r="B52" s="4" t="s">
        <f>=HYPERLINK("https://www.leilaoonline.com.br/lote/detalhe/334659", " PLANTADORA CANA AUTOMÁTICA DMB; ANO 2013. - FR513194 - LOC. LAGOA DA PRATA ")</f>
      </c>
      <c r="C52" s="4" t="inlineStr">
        <is>
          <t>Vendido</t>
        </is>
      </c>
      <c r="D52" s="4" t="inlineStr">
        <is>
          <t>1</t>
        </is>
      </c>
      <c r="E52" s="5" t="inlineStr">
        <is>
          <t>10.000,00</t>
        </is>
      </c>
      <c r="F52" s="4" t="inlineStr">
        <is>
          <t>1000.00</t>
        </is>
      </c>
    </row>
    <row collapsed="false" customFormat="false" customHeight="false" hidden="false" ht="12.1" outlineLevel="0" r="53">
      <c r="A53" s="5" t="s">
        <f>=HYPERLINK("https://www.leilaoonline.com.br/lote/detalhe/334376", "37213")</f>
      </c>
      <c r="B53" s="4" t="s">
        <f>=HYPERLINK("https://www.leilaoonline.com.br/lote/detalhe/334376", "FORNO A GAS MODELO BRAVO 4.354 KCAL/H; E FOGÃO BRASTEMP - LOC. UNIVALEM/ VALPARAISO")</f>
      </c>
      <c r="C53" s="4" t="inlineStr">
        <is>
          <t>Vendido</t>
        </is>
      </c>
      <c r="D53" s="4" t="inlineStr">
        <is>
          <t>6</t>
        </is>
      </c>
      <c r="E53" s="5" t="inlineStr">
        <is>
          <t>800,00</t>
        </is>
      </c>
      <c r="F53" s="4" t="inlineStr">
        <is>
          <t>50.00</t>
        </is>
      </c>
    </row>
    <row collapsed="false" customFormat="false" customHeight="false" hidden="false" ht="12.1" outlineLevel="0" r="54">
      <c r="A54" s="5" t="s">
        <f>=HYPERLINK("https://www.leilaoonline.com.br/lote/detalhe/334273", "37230")</f>
      </c>
      <c r="B54" s="4" t="s">
        <f>=HYPERLINK("https://www.leilaoonline.com.br/lote/detalhe/334273", "2 MOTORES DE INDUÇÃO - LOC. UNIVALEM")</f>
      </c>
      <c r="C54" s="4" t="inlineStr">
        <is>
          <t>Não vendido</t>
        </is>
      </c>
      <c r="D54" s="4" t="inlineStr">
        <is>
          <t>1</t>
        </is>
      </c>
      <c r="E54" s="5" t="inlineStr">
        <is>
          <t>5.000,00</t>
        </is>
      </c>
      <c r="F54" s="4" t="inlineStr">
        <is>
          <t>500.00</t>
        </is>
      </c>
    </row>
    <row collapsed="false" customFormat="false" customHeight="false" hidden="false" ht="12.1" outlineLevel="0" r="55">
      <c r="A55" s="5" t="s">
        <f>=HYPERLINK("https://www.leilaoonline.com.br/lote/detalhe/333833", "37293")</f>
      </c>
      <c r="B55" s="4" t="s">
        <f>=HYPERLINK("https://www.leilaoonline.com.br/lote/detalhe/333833", "REDUTOR ALTA ADDN CONJUNTO VOLANDEIRA. - PT.233330. - LOC. PARAGUAÇU")</f>
      </c>
      <c r="C55" s="4" t="inlineStr">
        <is>
          <t>Não vendido</t>
        </is>
      </c>
      <c r="D55" s="4" t="inlineStr">
        <is>
          <t>1</t>
        </is>
      </c>
      <c r="E55" s="5" t="inlineStr">
        <is>
          <t>10.000,00</t>
        </is>
      </c>
      <c r="F55" s="4" t="inlineStr">
        <is>
          <t>500.00</t>
        </is>
      </c>
    </row>
    <row collapsed="false" customFormat="false" customHeight="false" hidden="false" ht="12.1" outlineLevel="0" r="56">
      <c r="A56" s="5" t="s">
        <f>=HYPERLINK("https://www.leilaoonline.com.br/lote/detalhe/333834", "37294")</f>
      </c>
      <c r="B56" s="4" t="s">
        <f>=HYPERLINK("https://www.leilaoonline.com.br/lote/detalhe/333834", " REDUTOR ALTA NG M2B465. - PT.233328. - LOC. PARAGUAÇU")</f>
      </c>
      <c r="C56" s="4" t="inlineStr">
        <is>
          <t>Não vendido</t>
        </is>
      </c>
      <c r="D56" s="4" t="inlineStr">
        <is>
          <t>0</t>
        </is>
      </c>
      <c r="E56" s="5" t="inlineStr">
        <is>
          <t>10.000,00</t>
        </is>
      </c>
      <c r="F56" s="4" t="inlineStr">
        <is>
          <t>500.00</t>
        </is>
      </c>
    </row>
    <row collapsed="false" customFormat="false" customHeight="false" hidden="false" ht="12.1" outlineLevel="0" r="57">
      <c r="A57" s="5" t="s">
        <f>=HYPERLINK("https://www.leilaoonline.com.br/lote/detalhe/333836", "37295")</f>
      </c>
      <c r="B57" s="4" t="s">
        <f>=HYPERLINK("https://www.leilaoonline.com.br/lote/detalhe/333836", "CONJUNTO COM DUAS VOLANDEIRAS DENTIÇÃO RETA E ESTRUTURA SUCATEADA. - LOC. PARAGUAÇU")</f>
      </c>
      <c r="C57" s="4" t="inlineStr">
        <is>
          <t>Não vendido</t>
        </is>
      </c>
      <c r="D57" s="4" t="inlineStr">
        <is>
          <t>0</t>
        </is>
      </c>
      <c r="E57" s="5" t="inlineStr">
        <is>
          <t>20.000,00</t>
        </is>
      </c>
      <c r="F57" s="4" t="inlineStr">
        <is>
          <t>1000.00</t>
        </is>
      </c>
    </row>
    <row collapsed="false" customFormat="false" customHeight="false" hidden="false" ht="12.1" outlineLevel="0" r="58">
      <c r="A58" s="5" t="s">
        <f>=HYPERLINK("https://www.leilaoonline.com.br/lote/detalhe/333840", "37296")</f>
      </c>
      <c r="B58" s="4" t="s">
        <f>=HYPERLINK("https://www.leilaoonline.com.br/lote/detalhe/333840", " CONJUNTO COM DUAS VOLANDEIRAS DENTIÇÃO RETA E ESTRUTURA SUCATEADA. - LOC. PARAGUAÇU")</f>
      </c>
      <c r="C58" s="4" t="inlineStr">
        <is>
          <t>Não vendido</t>
        </is>
      </c>
      <c r="D58" s="4" t="inlineStr">
        <is>
          <t>1</t>
        </is>
      </c>
      <c r="E58" s="5" t="inlineStr">
        <is>
          <t>20.000,00</t>
        </is>
      </c>
      <c r="F58" s="4" t="inlineStr">
        <is>
          <t>1000.00</t>
        </is>
      </c>
    </row>
    <row collapsed="false" customFormat="false" customHeight="false" hidden="false" ht="12.1" outlineLevel="0" r="59">
      <c r="A59" s="5" t="s">
        <f>=HYPERLINK("https://www.leilaoonline.com.br/lote/detalhe/333838", "37297")</f>
      </c>
      <c r="B59" s="4" t="s">
        <f>=HYPERLINK("https://www.leilaoonline.com.br/lote/detalhe/333838", "CONJUNTO COM DUAS VOLANDEIRAS DENTIÇÃO RETA E ESTRUTURA SUCATEADA. - LOC. PARAGUAÇU")</f>
      </c>
      <c r="C59" s="4" t="inlineStr">
        <is>
          <t>Não vendido</t>
        </is>
      </c>
      <c r="D59" s="4" t="inlineStr">
        <is>
          <t>1</t>
        </is>
      </c>
      <c r="E59" s="5" t="inlineStr">
        <is>
          <t>5.000,00</t>
        </is>
      </c>
      <c r="F59" s="4" t="inlineStr">
        <is>
          <t>500.00</t>
        </is>
      </c>
    </row>
    <row collapsed="false" customFormat="false" customHeight="false" hidden="false" ht="12.1" outlineLevel="0" r="60">
      <c r="A60" s="5" t="s">
        <f>=HYPERLINK("https://www.leilaoonline.com.br/lote/detalhe/333837", "37298")</f>
      </c>
      <c r="B60" s="4" t="s">
        <f>=HYPERLINK("https://www.leilaoonline.com.br/lote/detalhe/333837", "CONJUNTO COM 3 CASTELOS DE MOENDA E ROLO DE PRESSÃO SUCATEADOS. - LOC. PARAGUAÇU")</f>
      </c>
      <c r="C60" s="4" t="inlineStr">
        <is>
          <t>Não vendido</t>
        </is>
      </c>
      <c r="D60" s="4" t="inlineStr">
        <is>
          <t>0</t>
        </is>
      </c>
      <c r="E60" s="5" t="inlineStr">
        <is>
          <t>20.000,00</t>
        </is>
      </c>
      <c r="F60" s="4" t="inlineStr">
        <is>
          <t>1000.00</t>
        </is>
      </c>
    </row>
    <row collapsed="false" customFormat="false" customHeight="false" hidden="false" ht="12.1" outlineLevel="0" r="61">
      <c r="A61" s="5" t="s">
        <f>=HYPERLINK("https://www.leilaoonline.com.br/lote/detalhe/333835", "37299")</f>
      </c>
      <c r="B61" s="4" t="s">
        <f>=HYPERLINK("https://www.leilaoonline.com.br/lote/detalhe/333835", " ESTEIRA DE BAGAÇO. - LOC. PARAGUAÇU")</f>
      </c>
      <c r="C61" s="4" t="inlineStr">
        <is>
          <t>Não vendido</t>
        </is>
      </c>
      <c r="D61" s="4" t="inlineStr">
        <is>
          <t>0</t>
        </is>
      </c>
      <c r="E61" s="5" t="inlineStr">
        <is>
          <t>5.000,00</t>
        </is>
      </c>
      <c r="F61" s="4" t="inlineStr">
        <is>
          <t>500.00</t>
        </is>
      </c>
    </row>
    <row collapsed="false" customFormat="false" customHeight="false" hidden="false" ht="12.1" outlineLevel="0" r="62">
      <c r="A62" s="5" t="s">
        <f>=HYPERLINK("https://www.leilaoonline.com.br/lote/detalhe/334422", "37303")</f>
      </c>
      <c r="B62" s="4" t="s">
        <f>=HYPERLINK("https://www.leilaoonline.com.br/lote/detalhe/334422", " MOTO BOMBA OM 447-A. - FR112903 - LOC. MUNDIAL ")</f>
      </c>
      <c r="C62" s="4" t="inlineStr">
        <is>
          <t>Vendido</t>
        </is>
      </c>
      <c r="D62" s="4" t="inlineStr">
        <is>
          <t>23</t>
        </is>
      </c>
      <c r="E62" s="5" t="inlineStr">
        <is>
          <t>18.500,00</t>
        </is>
      </c>
      <c r="F62" s="4" t="inlineStr">
        <is>
          <t>500.00</t>
        </is>
      </c>
    </row>
    <row collapsed="false" customFormat="false" customHeight="false" hidden="false" ht="12.1" outlineLevel="0" r="63">
      <c r="A63" s="5" t="s">
        <f>=HYPERLINK("https://www.leilaoonline.com.br/lote/detalhe/334512", "37358")</f>
      </c>
      <c r="B63" s="4" t="s">
        <f>=HYPERLINK("https://www.leilaoonline.com.br/lote/detalhe/334512", "CARROCERIA BAU. -N/E. - LOC. BONFIM ")</f>
      </c>
      <c r="C63" s="4" t="inlineStr">
        <is>
          <t>Vendido</t>
        </is>
      </c>
      <c r="D63" s="4" t="inlineStr">
        <is>
          <t>1</t>
        </is>
      </c>
      <c r="E63" s="5" t="inlineStr">
        <is>
          <t>2.500,00</t>
        </is>
      </c>
      <c r="F63" s="4" t="inlineStr">
        <is>
          <t>500.00</t>
        </is>
      </c>
    </row>
    <row collapsed="false" customFormat="false" customHeight="false" hidden="false" ht="12.1" outlineLevel="0" r="64">
      <c r="A64" s="5" t="s">
        <f>=HYPERLINK("https://www.leilaoonline.com.br/lote/detalhe/334080", "37367")</f>
      </c>
      <c r="B64" s="4" t="s">
        <f>=HYPERLINK("https://www.leilaoonline.com.br/lote/detalhe/334080", "TRANSBORDO STA IZABEL TRIDEM 13T; ANO 2013. - FR11003690. - LOC. VALE DO ROSÁRIO ")</f>
      </c>
      <c r="C64" s="4" t="inlineStr">
        <is>
          <t>Vendido</t>
        </is>
      </c>
      <c r="D64" s="4" t="inlineStr">
        <is>
          <t>1</t>
        </is>
      </c>
      <c r="E64" s="5" t="inlineStr">
        <is>
          <t>10.000,00</t>
        </is>
      </c>
      <c r="F64" s="4" t="inlineStr">
        <is>
          <t>1000.00</t>
        </is>
      </c>
    </row>
    <row collapsed="false" customFormat="false" customHeight="false" hidden="false" ht="12.1" outlineLevel="0" r="65">
      <c r="A65" s="5" t="s">
        <f>=HYPERLINK("https://www.leilaoonline.com.br/lote/detalhe/334079", "37368")</f>
      </c>
      <c r="B65" s="4" t="s">
        <f>=HYPERLINK("https://www.leilaoonline.com.br/lote/detalhe/334079", "TRANSBORDO STA IZABEL TRIDEM 13T; ANO 2013. - FR11003712. - LOC. VALE DO ROSÁRIO ")</f>
      </c>
      <c r="C65" s="4" t="inlineStr">
        <is>
          <t>Vendido</t>
        </is>
      </c>
      <c r="D65" s="4" t="inlineStr">
        <is>
          <t>9</t>
        </is>
      </c>
      <c r="E65" s="5" t="inlineStr">
        <is>
          <t>20.000,00</t>
        </is>
      </c>
      <c r="F65" s="4" t="inlineStr">
        <is>
          <t>1000.00</t>
        </is>
      </c>
    </row>
    <row collapsed="false" customFormat="false" customHeight="false" hidden="false" ht="12.1" outlineLevel="0" r="66">
      <c r="A66" s="5" t="s">
        <f>=HYPERLINK("https://www.leilaoonline.com.br/lote/detalhe/334083", "37369")</f>
      </c>
      <c r="B66" s="4" t="s">
        <f>=HYPERLINK("https://www.leilaoonline.com.br/lote/detalhe/334083", "TRANSBORDO STA IZABEL TRIDEM 13T; ANO 2014. -  FR10003193 -  LOC. VALE DO ROSÁRIO")</f>
      </c>
      <c r="C66" s="4" t="inlineStr">
        <is>
          <t>Vendido</t>
        </is>
      </c>
      <c r="D66" s="4" t="inlineStr">
        <is>
          <t>6</t>
        </is>
      </c>
      <c r="E66" s="5" t="inlineStr">
        <is>
          <t>16.000,00</t>
        </is>
      </c>
      <c r="F66" s="4" t="inlineStr">
        <is>
          <t>1000.00</t>
        </is>
      </c>
    </row>
    <row collapsed="false" customFormat="false" customHeight="false" hidden="false" ht="12.1" outlineLevel="0" r="67">
      <c r="A67" s="5" t="s">
        <f>=HYPERLINK("https://www.leilaoonline.com.br/lote/detalhe/334087", "37373")</f>
      </c>
      <c r="B67" s="4" t="s">
        <f>=HYPERLINK("https://www.leilaoonline.com.br/lote/detalhe/334087", "TRANSBORDO STA IZABEL TRIDEM 13T; ANO 2013. - FR11003699. - LOC. VALE DO ROSÁRIO")</f>
      </c>
      <c r="C67" s="4" t="inlineStr">
        <is>
          <t>Vendido</t>
        </is>
      </c>
      <c r="D67" s="4" t="inlineStr">
        <is>
          <t>8</t>
        </is>
      </c>
      <c r="E67" s="5" t="inlineStr">
        <is>
          <t>20.000,00</t>
        </is>
      </c>
      <c r="F67" s="4" t="inlineStr">
        <is>
          <t>1000.00</t>
        </is>
      </c>
    </row>
    <row collapsed="false" customFormat="false" customHeight="false" hidden="false" ht="12.1" outlineLevel="0" r="68">
      <c r="A68" s="5" t="s">
        <f>=HYPERLINK("https://www.leilaoonline.com.br/lote/detalhe/334374", "37449")</f>
      </c>
      <c r="B68" s="4" t="s">
        <f>=HYPERLINK("https://www.leilaoonline.com.br/lote/detalhe/334374", "APROX. 50 CADEIRAS, 04 CADEIRAS DE COZINHA, 15 CADEIRAS ESTOFADAS FIXAS, 03 LONGARINAS 3 LUG, 02 ARMARIOS, 01 FORNO INDUSTRIAL, 01 BEBEDOURO, 24 CAIXAS DE ISPOR . - (BIOPARQUE) - LOC. BARRA ")</f>
      </c>
      <c r="C68" s="4" t="inlineStr">
        <is>
          <t>Não vendido</t>
        </is>
      </c>
      <c r="D68" s="4" t="inlineStr">
        <is>
          <t>1</t>
        </is>
      </c>
      <c r="E68" s="5" t="inlineStr">
        <is>
          <t>500,00</t>
        </is>
      </c>
      <c r="F68" s="4" t="inlineStr">
        <is>
          <t>50.00</t>
        </is>
      </c>
    </row>
    <row collapsed="false" customFormat="false" customHeight="false" hidden="false" ht="12.1" outlineLevel="0" r="69">
      <c r="A69" s="5" t="s">
        <f>=HYPERLINK("https://www.leilaoonline.com.br/lote/detalhe/334419", "37451")</f>
      </c>
      <c r="B69" s="4" t="s">
        <f>=HYPERLINK("https://www.leilaoonline.com.br/lote/detalhe/334419", "ITENS DIVERSOS: IMPRESSORA HP, CAIXA DE SOM AMPLIFICADA, RACK DE PAREDE E OUTROS  - (VEJA DESCRITIVO DE ITENS) - LOC. BARRA-IGARAÇÚ")</f>
      </c>
      <c r="C69" s="4" t="inlineStr">
        <is>
          <t>Vendido</t>
        </is>
      </c>
      <c r="D69" s="4" t="inlineStr">
        <is>
          <t>2</t>
        </is>
      </c>
      <c r="E69" s="5" t="inlineStr">
        <is>
          <t>250,00</t>
        </is>
      </c>
      <c r="F69" s="4" t="inlineStr">
        <is>
          <t>50.00</t>
        </is>
      </c>
    </row>
    <row collapsed="false" customFormat="false" customHeight="false" hidden="false" ht="12.1" outlineLevel="0" r="70">
      <c r="A70" s="5" t="s">
        <f>=HYPERLINK("https://www.leilaoonline.com.br/lote/detalhe/334108", "37458")</f>
      </c>
      <c r="B70" s="4" t="s">
        <f>=HYPERLINK("https://www.leilaoonline.com.br/lote/detalhe/334108", " 6 CAMISAS DE MOENDA - LOC. BOM RETIRO")</f>
      </c>
      <c r="C70" s="4" t="inlineStr">
        <is>
          <t>Não vendido</t>
        </is>
      </c>
      <c r="D70" s="4" t="inlineStr">
        <is>
          <t>35</t>
        </is>
      </c>
      <c r="E70" s="5" t="inlineStr">
        <is>
          <t>23.000,00</t>
        </is>
      </c>
      <c r="F70" s="4" t="inlineStr">
        <is>
          <t>1000.00</t>
        </is>
      </c>
    </row>
    <row collapsed="false" customFormat="false" customHeight="false" hidden="false" ht="12.1" outlineLevel="0" r="71">
      <c r="A71" s="5" t="s">
        <f>=HYPERLINK("https://www.leilaoonline.com.br/lote/detalhe/334112", "37459")</f>
      </c>
      <c r="B71" s="4" t="s">
        <f>=HYPERLINK("https://www.leilaoonline.com.br/lote/detalhe/334112", " 3 VOLANDEIRAS - LOC. BOM RETIRO ")</f>
      </c>
      <c r="C71" s="4" t="inlineStr">
        <is>
          <t>Não vendido</t>
        </is>
      </c>
      <c r="D71" s="4" t="inlineStr">
        <is>
          <t>15</t>
        </is>
      </c>
      <c r="E71" s="5" t="inlineStr">
        <is>
          <t>12.000,00</t>
        </is>
      </c>
      <c r="F71" s="4" t="inlineStr">
        <is>
          <t>500.00</t>
        </is>
      </c>
    </row>
    <row collapsed="false" customFormat="false" customHeight="false" hidden="false" ht="12.1" outlineLevel="0" r="72">
      <c r="A72" s="5" t="s">
        <f>=HYPERLINK("https://www.leilaoonline.com.br/lote/detalhe/334524", "37463")</f>
      </c>
      <c r="B72" s="4" t="s">
        <f>=HYPERLINK("https://www.leilaoonline.com.br/lote/detalhe/334524", "DESTILARIA /FERMENTAÇÃO COMPOSTA POR: 03 TANQUES PÉ DE CUBA, 12 DORNAS, 1 TANQUE DE MEL, 1 TANQUE DE INOX, 2 TANQUES MEDIDOR, 1 TANQUE ESPUMANTE, 1 TANQUE SODA CÁUSTICA, 1 TANQUE DE AÇO SÚLFURICO, 02 TANQUES DE ÓLEO FÚSIL; PERIFÉRICOS, ESTRUTURAS EM GERAL. -  LOC. BOM RETIRO ")</f>
      </c>
      <c r="C72" s="4" t="inlineStr">
        <is>
          <t>Não vendido</t>
        </is>
      </c>
      <c r="D72" s="4" t="inlineStr">
        <is>
          <t>1</t>
        </is>
      </c>
      <c r="E72" s="5" t="inlineStr">
        <is>
          <t>500.000,00</t>
        </is>
      </c>
      <c r="F72" s="4" t="inlineStr">
        <is>
          <t>50000.00</t>
        </is>
      </c>
    </row>
    <row collapsed="false" customFormat="false" customHeight="false" hidden="false" ht="12.1" outlineLevel="0" r="73">
      <c r="A73" s="5" t="s">
        <f>=HYPERLINK("https://www.leilaoonline.com.br/lote/detalhe/333947", "37565")</f>
      </c>
      <c r="B73" s="4" t="s">
        <f>=HYPERLINK("https://www.leilaoonline.com.br/lote/detalhe/333947", "TRATOR CASE 260; ANO 2017. - FR20365 - LOC. PARAISO ")</f>
      </c>
      <c r="C73" s="4" t="inlineStr">
        <is>
          <t>Não vendido</t>
        </is>
      </c>
      <c r="D73" s="4" t="inlineStr">
        <is>
          <t>9</t>
        </is>
      </c>
      <c r="E73" s="5" t="inlineStr">
        <is>
          <t>70.000,00</t>
        </is>
      </c>
      <c r="F73" s="4" t="inlineStr">
        <is>
          <t>2500.00</t>
        </is>
      </c>
    </row>
    <row collapsed="false" customFormat="false" customHeight="false" hidden="false" ht="12.1" outlineLevel="0" r="74">
      <c r="A74" s="5" t="s">
        <f>=HYPERLINK("https://www.leilaoonline.com.br/lote/detalhe/334278", "37566")</f>
      </c>
      <c r="B74" s="4" t="s">
        <f>=HYPERLINK("https://www.leilaoonline.com.br/lote/detalhe/334278", "CAMINHÃO M.BENZ/AXOR 3344S 6X4; ANO 2014/2014; BRANCA; (MOTOR TRAVADO). - FR362063. - LOC. BARRA")</f>
      </c>
      <c r="C74" s="4" t="inlineStr">
        <is>
          <t>Vendido</t>
        </is>
      </c>
      <c r="D74" s="4" t="inlineStr">
        <is>
          <t>41</t>
        </is>
      </c>
      <c r="E74" s="5" t="inlineStr">
        <is>
          <t>117.000,00</t>
        </is>
      </c>
      <c r="F74" s="4" t="inlineStr">
        <is>
          <t>1000.00</t>
        </is>
      </c>
    </row>
    <row collapsed="false" customFormat="false" customHeight="false" hidden="false" ht="12.1" outlineLevel="0" r="75">
      <c r="A75" s="5" t="s">
        <f>=HYPERLINK("https://www.leilaoonline.com.br/lote/detalhe/333944", "37567")</f>
      </c>
      <c r="B75" s="4" t="s">
        <f>=HYPERLINK("https://www.leilaoonline.com.br/lote/detalhe/333944", "COLHEDORA JOHN DEERE; ANO 2016. - FR4465162/139520. - LOC. BARRA ")</f>
      </c>
      <c r="C75" s="4" t="inlineStr">
        <is>
          <t>Não vendido</t>
        </is>
      </c>
      <c r="D75" s="4" t="inlineStr">
        <is>
          <t>20</t>
        </is>
      </c>
      <c r="E75" s="5" t="inlineStr">
        <is>
          <t>42.000,00</t>
        </is>
      </c>
      <c r="F75" s="4" t="inlineStr">
        <is>
          <t>1000.00</t>
        </is>
      </c>
    </row>
    <row collapsed="false" customFormat="false" customHeight="false" hidden="false" ht="12.1" outlineLevel="0" r="76">
      <c r="A76" s="5" t="s">
        <f>=HYPERLINK("https://www.leilaoonline.com.br/lote/detalhe/333945", "37570")</f>
      </c>
      <c r="B76" s="4" t="s">
        <f>=HYPERLINK("https://www.leilaoonline.com.br/lote/detalhe/333945", "COLHEDORA JOHN DEERE CH570 1L - ANO 2017 - FR117586 - LOC. BARRA ")</f>
      </c>
      <c r="C76" s="4" t="inlineStr">
        <is>
          <t>Não vendido</t>
        </is>
      </c>
      <c r="D76" s="4" t="inlineStr">
        <is>
          <t>20</t>
        </is>
      </c>
      <c r="E76" s="5" t="inlineStr">
        <is>
          <t>42.000,00</t>
        </is>
      </c>
      <c r="F76" s="4" t="inlineStr">
        <is>
          <t>1000.00</t>
        </is>
      </c>
    </row>
    <row collapsed="false" customFormat="false" customHeight="false" hidden="false" ht="12.1" outlineLevel="0" r="77">
      <c r="A77" s="5" t="s">
        <f>=HYPERLINK("https://www.leilaoonline.com.br/lote/detalhe/333946", "37571")</f>
      </c>
      <c r="B77" s="4" t="s">
        <f>=HYPERLINK("https://www.leilaoonline.com.br/lote/detalhe/333946", " COLHEDORA JOHN DEERE CH670 - ANO 2016 - FR101498. - LOC. BARRA ")</f>
      </c>
      <c r="C77" s="4" t="inlineStr">
        <is>
          <t>Vendido</t>
        </is>
      </c>
      <c r="D77" s="4" t="inlineStr">
        <is>
          <t>15</t>
        </is>
      </c>
      <c r="E77" s="5" t="inlineStr">
        <is>
          <t>42.000,00</t>
        </is>
      </c>
      <c r="F77" s="4" t="inlineStr">
        <is>
          <t>1000.00</t>
        </is>
      </c>
    </row>
    <row collapsed="false" customFormat="false" customHeight="false" hidden="false" ht="12.1" outlineLevel="0" r="78">
      <c r="A78" s="5" t="s">
        <f>=HYPERLINK("https://www.leilaoonline.com.br/lote/detalhe/333804", "37578")</f>
      </c>
      <c r="B78" s="4" t="s">
        <f>=HYPERLINK("https://www.leilaoonline.com.br/lote/detalhe/333804", " TRANSBORDO SANTAL 12 T - ANO 2008 - FR101950. -  LOC. DOIS CORREGOS ")</f>
      </c>
      <c r="C78" s="4" t="inlineStr">
        <is>
          <t>Não vendido</t>
        </is>
      </c>
      <c r="D78" s="4" t="inlineStr">
        <is>
          <t>0</t>
        </is>
      </c>
      <c r="E78" s="5" t="inlineStr">
        <is>
          <t>10.000,00</t>
        </is>
      </c>
      <c r="F78" s="4" t="inlineStr">
        <is>
          <t>1000.00</t>
        </is>
      </c>
    </row>
    <row collapsed="false" customFormat="false" customHeight="false" hidden="false" ht="12.1" outlineLevel="0" r="79">
      <c r="A79" s="5" t="s">
        <f>=HYPERLINK("https://www.leilaoonline.com.br/lote/detalhe/333805", "37582")</f>
      </c>
      <c r="B79" s="4" t="s">
        <f>=HYPERLINK("https://www.leilaoonline.com.br/lote/detalhe/333805", "TRANSBORDO SANTAL; ANO 2007. - FR101940 - LOC. DOIS CORREGOS ")</f>
      </c>
      <c r="C79" s="4" t="inlineStr">
        <is>
          <t>Não vendido</t>
        </is>
      </c>
      <c r="D79" s="4" t="inlineStr">
        <is>
          <t>0</t>
        </is>
      </c>
      <c r="E79" s="5" t="inlineStr">
        <is>
          <t>10.000,00</t>
        </is>
      </c>
      <c r="F79" s="4" t="inlineStr">
        <is>
          <t>1000.00</t>
        </is>
      </c>
    </row>
    <row collapsed="false" customFormat="false" customHeight="false" hidden="false" ht="12.1" outlineLevel="0" r="80">
      <c r="A80" s="5" t="s">
        <f>=HYPERLINK("https://www.leilaoonline.com.br/lote/detalhe/333949", "37710")</f>
      </c>
      <c r="B80" s="4" t="s">
        <f>=HYPERLINK("https://www.leilaoonline.com.br/lote/detalhe/333949", " TRATOR JOHN DEERE; ANO 2016. - FR115707. - LOC. SANTA CÂNDIDA")</f>
      </c>
      <c r="C80" s="4" t="inlineStr">
        <is>
          <t>Vendido</t>
        </is>
      </c>
      <c r="D80" s="4" t="inlineStr">
        <is>
          <t>2</t>
        </is>
      </c>
      <c r="E80" s="5" t="inlineStr">
        <is>
          <t>52.000,00</t>
        </is>
      </c>
      <c r="F80" s="4" t="inlineStr">
        <is>
          <t>2000.00</t>
        </is>
      </c>
    </row>
    <row collapsed="false" customFormat="false" customHeight="false" hidden="false" ht="12.1" outlineLevel="0" r="81">
      <c r="A81" s="5" t="s">
        <f>=HYPERLINK("https://www.leilaoonline.com.br/lote/detalhe/333950", "37711")</f>
      </c>
      <c r="B81" s="4" t="s">
        <f>=HYPERLINK("https://www.leilaoonline.com.br/lote/detalhe/333950", " TRATOR JOHN DEERE; ANO 2016. - FR115704. - LOC. SANTA CÂNDIDA")</f>
      </c>
      <c r="C81" s="4" t="inlineStr">
        <is>
          <t>Vendido</t>
        </is>
      </c>
      <c r="D81" s="4" t="inlineStr">
        <is>
          <t>6</t>
        </is>
      </c>
      <c r="E81" s="5" t="inlineStr">
        <is>
          <t>60.000,00</t>
        </is>
      </c>
      <c r="F81" s="4" t="inlineStr">
        <is>
          <t>2000.00</t>
        </is>
      </c>
    </row>
    <row collapsed="false" customFormat="false" customHeight="false" hidden="false" ht="12.1" outlineLevel="0" r="82">
      <c r="A82" s="5" t="s">
        <f>=HYPERLINK("https://www.leilaoonline.com.br/lote/detalhe/334372", "37717")</f>
      </c>
      <c r="B82" s="4" t="s">
        <f>=HYPERLINK("https://www.leilaoonline.com.br/lote/detalhe/334372", "APROX. 32 MOTORES SUCATEADOS - LOC. UNIVALEM ")</f>
      </c>
      <c r="C82" s="4" t="inlineStr">
        <is>
          <t>Vendido</t>
        </is>
      </c>
      <c r="D82" s="4" t="inlineStr">
        <is>
          <t>24</t>
        </is>
      </c>
      <c r="E82" s="5" t="inlineStr">
        <is>
          <t>16.500,00</t>
        </is>
      </c>
      <c r="F82" s="4" t="inlineStr">
        <is>
          <t>500.00</t>
        </is>
      </c>
    </row>
    <row collapsed="false" customFormat="false" customHeight="false" hidden="false" ht="12.1" outlineLevel="0" r="83">
      <c r="A83" s="5" t="s">
        <f>=HYPERLINK("https://www.leilaoonline.com.br/lote/detalhe/334266", "37720")</f>
      </c>
      <c r="B83" s="4" t="s">
        <f>=HYPERLINK("https://www.leilaoonline.com.br/lote/detalhe/334266", " 02 DESENREILADOR DE PALHA CARDEROLI; ANO 2014. - FR84683/FR84688 - LOC.UNIVALEM")</f>
      </c>
      <c r="C83" s="4" t="inlineStr">
        <is>
          <t>Não vendido</t>
        </is>
      </c>
      <c r="D83" s="4" t="inlineStr">
        <is>
          <t>1</t>
        </is>
      </c>
      <c r="E83" s="5" t="inlineStr">
        <is>
          <t>1.250,00</t>
        </is>
      </c>
      <c r="F83" s="4" t="inlineStr">
        <is>
          <t>250.00</t>
        </is>
      </c>
    </row>
    <row collapsed="false" customFormat="false" customHeight="false" hidden="false" ht="12.1" outlineLevel="0" r="84">
      <c r="A84" s="5" t="s">
        <f>=HYPERLINK("https://www.leilaoonline.com.br/lote/detalhe/334587", "37726")</f>
      </c>
      <c r="B84" s="4" t="s">
        <f>=HYPERLINK("https://www.leilaoonline.com.br/lote/detalhe/334587", "03 TANQUES 1.000LTS/INOX 304 - LOC.UNIVALEM  ")</f>
      </c>
      <c r="C84" s="4" t="inlineStr">
        <is>
          <t>Vendido</t>
        </is>
      </c>
      <c r="D84" s="4" t="inlineStr">
        <is>
          <t>31</t>
        </is>
      </c>
      <c r="E84" s="5" t="inlineStr">
        <is>
          <t>3.700,00</t>
        </is>
      </c>
      <c r="F84" s="4" t="inlineStr">
        <is>
          <t>100.00</t>
        </is>
      </c>
    </row>
    <row collapsed="false" customFormat="false" customHeight="false" hidden="false" ht="12.1" outlineLevel="0" r="85">
      <c r="A85" s="5" t="s">
        <f>=HYPERLINK("https://www.leilaoonline.com.br/lote/detalhe/334272", "37727")</f>
      </c>
      <c r="B85" s="4" t="s">
        <f>=HYPERLINK("https://www.leilaoonline.com.br/lote/detalhe/334272", " 02 VALVULAS DE CONTROLE PNEUMATICO LINEAR (GLOBO); 9 VALVULAS GLOBO - LOC.UNIVALEM")</f>
      </c>
      <c r="C85" s="4" t="inlineStr">
        <is>
          <t>Vendido</t>
        </is>
      </c>
      <c r="D85" s="4" t="inlineStr">
        <is>
          <t>2</t>
        </is>
      </c>
      <c r="E85" s="5" t="inlineStr">
        <is>
          <t>3.000,00</t>
        </is>
      </c>
      <c r="F85" s="4" t="inlineStr">
        <is>
          <t>500.00</t>
        </is>
      </c>
    </row>
    <row collapsed="false" customFormat="false" customHeight="false" hidden="false" ht="12.1" outlineLevel="0" r="86">
      <c r="A86" s="5" t="s">
        <f>=HYPERLINK("https://www.leilaoonline.com.br/lote/detalhe/334270", "37728")</f>
      </c>
      <c r="B86" s="4" t="s">
        <f>=HYPERLINK("https://www.leilaoonline.com.br/lote/detalhe/334270", " PENEIRA INOX - LOC.UNIVALEM")</f>
      </c>
      <c r="C86" s="4" t="inlineStr">
        <is>
          <t>Vendido</t>
        </is>
      </c>
      <c r="D86" s="4" t="inlineStr">
        <is>
          <t>16</t>
        </is>
      </c>
      <c r="E86" s="5" t="inlineStr">
        <is>
          <t>8.500,00</t>
        </is>
      </c>
      <c r="F86" s="4" t="inlineStr">
        <is>
          <t>500.00</t>
        </is>
      </c>
    </row>
    <row collapsed="false" customFormat="false" customHeight="false" hidden="false" ht="12.1" outlineLevel="0" r="87">
      <c r="A87" s="5" t="s">
        <f>=HYPERLINK("https://www.leilaoonline.com.br/lote/detalhe/334586", "37732")</f>
      </c>
      <c r="B87" s="4" t="s">
        <f>=HYPERLINK("https://www.leilaoonline.com.br/lote/detalhe/334586", "04 ROTORES - LOC. GASA ")</f>
      </c>
      <c r="C87" s="4" t="inlineStr">
        <is>
          <t>Não vendido</t>
        </is>
      </c>
      <c r="D87" s="4" t="inlineStr">
        <is>
          <t>2</t>
        </is>
      </c>
      <c r="E87" s="5" t="inlineStr">
        <is>
          <t>1.200,00</t>
        </is>
      </c>
      <c r="F87" s="4" t="inlineStr">
        <is>
          <t>100.00</t>
        </is>
      </c>
    </row>
    <row collapsed="false" customFormat="false" customHeight="false" hidden="false" ht="12.1" outlineLevel="0" r="88">
      <c r="A88" s="5" t="s">
        <f>=HYPERLINK("https://www.leilaoonline.com.br/lote/detalhe/334642", "37733")</f>
      </c>
      <c r="B88" s="4" t="s">
        <f>=HYPERLINK("https://www.leilaoonline.com.br/lote/detalhe/334642", "TRANSFORMADOR DE CORRENTE, 03 REATORES SIEMENS, BRAÇO INVERSOR REGENERATIVO E ETC - LOC. UNIVALEM ")</f>
      </c>
      <c r="C88" s="4" t="inlineStr">
        <is>
          <t>Não vendido</t>
        </is>
      </c>
      <c r="D88" s="4" t="inlineStr">
        <is>
          <t>7</t>
        </is>
      </c>
      <c r="E88" s="5" t="inlineStr">
        <is>
          <t>4.000,00</t>
        </is>
      </c>
      <c r="F88" s="4" t="inlineStr">
        <is>
          <t>500.00</t>
        </is>
      </c>
    </row>
    <row collapsed="false" customFormat="false" customHeight="false" hidden="false" ht="12.1" outlineLevel="0" r="89">
      <c r="A89" s="5" t="s">
        <f>=HYPERLINK("https://www.leilaoonline.com.br/lote/detalhe/334264", "37736")</f>
      </c>
      <c r="B89" s="4" t="s">
        <f>=HYPERLINK("https://www.leilaoonline.com.br/lote/detalhe/334264", "EQUIPAMENTOS DIVERSOS - LOC. UNIVALEM")</f>
      </c>
      <c r="C89" s="4" t="inlineStr">
        <is>
          <t>Não vendido</t>
        </is>
      </c>
      <c r="D89" s="4" t="inlineStr">
        <is>
          <t>1</t>
        </is>
      </c>
      <c r="E89" s="5" t="inlineStr">
        <is>
          <t>1.000,00</t>
        </is>
      </c>
      <c r="F89" s="4" t="inlineStr">
        <is>
          <t>250.00</t>
        </is>
      </c>
    </row>
    <row collapsed="false" customFormat="false" customHeight="false" hidden="false" ht="12.1" outlineLevel="0" r="90">
      <c r="A90" s="5" t="s">
        <f>=HYPERLINK("https://www.leilaoonline.com.br/lote/detalhe/334627", "37753")</f>
      </c>
      <c r="B90" s="4" t="s">
        <f>=HYPERLINK("https://www.leilaoonline.com.br/lote/detalhe/334627", "DISTRIBUIDOR AGRIC P TORTA FILT C ROSC; ANO 2018. - FR38077 - LOC. JATAI ")</f>
      </c>
      <c r="C90" s="4" t="inlineStr">
        <is>
          <t>Não vendido</t>
        </is>
      </c>
      <c r="D90" s="4" t="inlineStr">
        <is>
          <t>0</t>
        </is>
      </c>
      <c r="E90" s="5" t="inlineStr">
        <is>
          <t>3.500,00</t>
        </is>
      </c>
      <c r="F90" s="4" t="inlineStr">
        <is>
          <t>500.00</t>
        </is>
      </c>
    </row>
    <row collapsed="false" customFormat="false" customHeight="false" hidden="false" ht="12.1" outlineLevel="0" r="91">
      <c r="A91" s="5" t="s">
        <f>=HYPERLINK("https://www.leilaoonline.com.br/lote/detalhe/334420", "37763")</f>
      </c>
      <c r="B91" s="4" t="s">
        <f>=HYPERLINK("https://www.leilaoonline.com.br/lote/detalhe/334420", "BORRACHA DE ESTEIRA SUCATEADA  - APROX. 2 TON. (VENDA POR KILO)  - LOC. JATAI")</f>
      </c>
      <c r="C91" s="4" t="inlineStr">
        <is>
          <t>Vendido</t>
        </is>
      </c>
      <c r="D91" s="4" t="inlineStr">
        <is>
          <t>2</t>
        </is>
      </c>
      <c r="E91" s="5" t="inlineStr">
        <is>
          <t>2.000,00</t>
        </is>
      </c>
      <c r="F91" s="4" t="inlineStr">
        <is>
          <t>0.10</t>
        </is>
      </c>
    </row>
    <row collapsed="false" customFormat="false" customHeight="false" hidden="false" ht="12.1" outlineLevel="0" r="92">
      <c r="A92" s="5" t="s">
        <f>=HYPERLINK("https://www.leilaoonline.com.br/lote/detalhe/333955", "37775")</f>
      </c>
      <c r="B92" s="4" t="s">
        <f>=HYPERLINK("https://www.leilaoonline.com.br/lote/detalhe/333955", "CAIXA S.A.O COMPLETA . - N/E - LOC. GASA ")</f>
      </c>
      <c r="C92" s="4" t="inlineStr">
        <is>
          <t>Vendido</t>
        </is>
      </c>
      <c r="D92" s="4" t="inlineStr">
        <is>
          <t>11</t>
        </is>
      </c>
      <c r="E92" s="5" t="inlineStr">
        <is>
          <t>8.000,00</t>
        </is>
      </c>
      <c r="F92" s="4" t="inlineStr">
        <is>
          <t>500.00</t>
        </is>
      </c>
    </row>
    <row collapsed="false" customFormat="false" customHeight="false" hidden="false" ht="12.1" outlineLevel="0" r="93">
      <c r="A93" s="5" t="s">
        <f>=HYPERLINK("https://www.leilaoonline.com.br/lote/detalhe/333956", "37776")</f>
      </c>
      <c r="B93" s="4" t="s">
        <f>=HYPERLINK("https://www.leilaoonline.com.br/lote/detalhe/333956", "2 ESTRUTURAS TORRES RESFRIAMENTO. - N/A - LOC. GASA")</f>
      </c>
      <c r="C93" s="4" t="inlineStr">
        <is>
          <t>Não vendido</t>
        </is>
      </c>
      <c r="D93" s="4" t="inlineStr">
        <is>
          <t>0</t>
        </is>
      </c>
      <c r="E93" s="5" t="inlineStr">
        <is>
          <t>100,00</t>
        </is>
      </c>
      <c r="F93" s="4" t="inlineStr">
        <is>
          <t>50.00</t>
        </is>
      </c>
    </row>
    <row collapsed="false" customFormat="false" customHeight="false" hidden="false" ht="12.1" outlineLevel="0" r="94">
      <c r="A94" s="5" t="s">
        <f>=HYPERLINK("https://www.leilaoonline.com.br/lote/detalhe/333843", "37778")</f>
      </c>
      <c r="B94" s="4" t="s">
        <f>=HYPERLINK("https://www.leilaoonline.com.br/lote/detalhe/333843", " ESTEIRA DE BAGAÇO TC1 E TC2 SUCATEADA. - LOC. PARAGUAÇU")</f>
      </c>
      <c r="C94" s="4" t="inlineStr">
        <is>
          <t>Não vendido</t>
        </is>
      </c>
      <c r="D94" s="4" t="inlineStr">
        <is>
          <t>1</t>
        </is>
      </c>
      <c r="E94" s="5" t="inlineStr">
        <is>
          <t>5.000,00</t>
        </is>
      </c>
      <c r="F94" s="4" t="inlineStr">
        <is>
          <t>500.00</t>
        </is>
      </c>
    </row>
    <row collapsed="false" customFormat="false" customHeight="false" hidden="false" ht="12.1" outlineLevel="0" r="95">
      <c r="A95" s="5" t="s">
        <f>=HYPERLINK("https://www.leilaoonline.com.br/lote/detalhe/333841", "37780")</f>
      </c>
      <c r="B95" s="4" t="s">
        <f>=HYPERLINK("https://www.leilaoonline.com.br/lote/detalhe/333841", " MOTOR JOHN DEERE DE EQUIPAMENTO AGRÍCOLA SUCATEADO. - LOC. IPAUSSU")</f>
      </c>
      <c r="C95" s="4" t="inlineStr">
        <is>
          <t>Vendido</t>
        </is>
      </c>
      <c r="D95" s="4" t="inlineStr">
        <is>
          <t>34</t>
        </is>
      </c>
      <c r="E95" s="5" t="inlineStr">
        <is>
          <t>10.000,00</t>
        </is>
      </c>
      <c r="F95" s="4" t="inlineStr">
        <is>
          <t>250.00</t>
        </is>
      </c>
    </row>
    <row collapsed="false" customFormat="false" customHeight="false" hidden="false" ht="12.1" outlineLevel="0" r="96">
      <c r="A96" s="5" t="s">
        <f>=HYPERLINK("https://www.leilaoonline.com.br/lote/detalhe/333844", "37781")</f>
      </c>
      <c r="B96" s="4" t="s">
        <f>=HYPERLINK("https://www.leilaoonline.com.br/lote/detalhe/333844", " RODANTES DE COLHEDORA SUCATEADOS - APROXIMADAMENTE 10 UNIDADES. - LOC. IPAUSSU")</f>
      </c>
      <c r="C96" s="4" t="inlineStr">
        <is>
          <t>Vendido</t>
        </is>
      </c>
      <c r="D96" s="4" t="inlineStr">
        <is>
          <t>11</t>
        </is>
      </c>
      <c r="E96" s="5" t="inlineStr">
        <is>
          <t>8.000,00</t>
        </is>
      </c>
      <c r="F96" s="4" t="inlineStr">
        <is>
          <t>500.00</t>
        </is>
      </c>
    </row>
    <row collapsed="false" customFormat="false" customHeight="false" hidden="false" ht="12.1" outlineLevel="0" r="97">
      <c r="A97" s="5" t="s">
        <f>=HYPERLINK("https://www.leilaoonline.com.br/lote/detalhe/333846", "37782")</f>
      </c>
      <c r="B97" s="4" t="s">
        <f>=HYPERLINK("https://www.leilaoonline.com.br/lote/detalhe/333846", " PEÇAS DE REPOSIÇÃO DE EQUIPAMENTO AGRÍCOLA SUCATEADAS. - LOC. IPAUSSU")</f>
      </c>
      <c r="C97" s="4" t="inlineStr">
        <is>
          <t>Não vendido</t>
        </is>
      </c>
      <c r="D97" s="4" t="inlineStr">
        <is>
          <t>0</t>
        </is>
      </c>
      <c r="E97" s="5" t="inlineStr">
        <is>
          <t>1.000,00</t>
        </is>
      </c>
      <c r="F97" s="4" t="inlineStr">
        <is>
          <t>500.00</t>
        </is>
      </c>
    </row>
    <row collapsed="false" customFormat="false" customHeight="false" hidden="false" ht="12.1" outlineLevel="0" r="98">
      <c r="A98" s="5" t="s">
        <f>=HYPERLINK("https://www.leilaoonline.com.br/lote/detalhe/333822", "37783")</f>
      </c>
      <c r="B98" s="4" t="s">
        <f>=HYPERLINK("https://www.leilaoonline.com.br/lote/detalhe/333822", " SISTEMA DE ABASTECIMENTO BAZUKA MIX 12.0 STD SOLLUS. - FR26048. - LOC. IPAUSSU")</f>
      </c>
      <c r="C98" s="4" t="inlineStr">
        <is>
          <t>Não vendido</t>
        </is>
      </c>
      <c r="D98" s="4" t="inlineStr">
        <is>
          <t>9</t>
        </is>
      </c>
      <c r="E98" s="5" t="inlineStr">
        <is>
          <t>7.000,00</t>
        </is>
      </c>
      <c r="F98" s="4" t="inlineStr">
        <is>
          <t>500.00</t>
        </is>
      </c>
    </row>
    <row collapsed="false" customFormat="false" customHeight="false" hidden="false" ht="12.1" outlineLevel="0" r="99">
      <c r="A99" s="5" t="s">
        <f>=HYPERLINK("https://www.leilaoonline.com.br/lote/detalhe/333819", "37784")</f>
      </c>
      <c r="B99" s="4" t="s">
        <f>=HYPERLINK("https://www.leilaoonline.com.br/lote/detalhe/333819", " IMPLEMENTO COM 3 TANQUES DE HERBICIDA 2400 LITROS. - N/E. - LOC. IPAUSSU")</f>
      </c>
      <c r="C99" s="4" t="inlineStr">
        <is>
          <t>Vendido</t>
        </is>
      </c>
      <c r="D99" s="4" t="inlineStr">
        <is>
          <t>1</t>
        </is>
      </c>
      <c r="E99" s="5" t="inlineStr">
        <is>
          <t>1.000,00</t>
        </is>
      </c>
      <c r="F99" s="4" t="inlineStr">
        <is>
          <t>500.00</t>
        </is>
      </c>
    </row>
    <row collapsed="false" customFormat="false" customHeight="false" hidden="false" ht="12.1" outlineLevel="0" r="100">
      <c r="A100" s="5" t="s">
        <f>=HYPERLINK("https://www.leilaoonline.com.br/lote/detalhe/333820", "37785")</f>
      </c>
      <c r="B100" s="4" t="s">
        <f>=HYPERLINK("https://www.leilaoonline.com.br/lote/detalhe/333820", "CARRETA AGRÍCOLA AB MAD/FE 500 KG 1,5 X 2,25 X 1 M. - (REB/TIN CAR REBTC JTS - ANO 2015/2015 - PRETA) -  FR48260. - LOC. IPAUSSU")</f>
      </c>
      <c r="C100" s="4" t="inlineStr">
        <is>
          <t>Não vendido</t>
        </is>
      </c>
      <c r="D100" s="4" t="inlineStr">
        <is>
          <t>1</t>
        </is>
      </c>
      <c r="E100" s="5" t="inlineStr">
        <is>
          <t>1.500,00</t>
        </is>
      </c>
      <c r="F100" s="4" t="inlineStr">
        <is>
          <t>500.00</t>
        </is>
      </c>
    </row>
    <row collapsed="false" customFormat="false" customHeight="false" hidden="false" ht="12.1" outlineLevel="0" r="101">
      <c r="A101" s="5" t="s">
        <f>=HYPERLINK("https://www.leilaoonline.com.br/lote/detalhe/333821", "37786")</f>
      </c>
      <c r="B101" s="4" t="s">
        <f>=HYPERLINK("https://www.leilaoonline.com.br/lote/detalhe/333821", " REBOQUE COM TANQUE DE POLIPROPILENO. - FR48402. - LOC. IPAUSSU")</f>
      </c>
      <c r="C101" s="4" t="inlineStr">
        <is>
          <t>Vendido</t>
        </is>
      </c>
      <c r="D101" s="4" t="inlineStr">
        <is>
          <t>2</t>
        </is>
      </c>
      <c r="E101" s="5" t="inlineStr">
        <is>
          <t>2.000,00</t>
        </is>
      </c>
      <c r="F101" s="4" t="inlineStr">
        <is>
          <t>500.00</t>
        </is>
      </c>
    </row>
    <row collapsed="false" customFormat="false" customHeight="false" hidden="false" ht="12.1" outlineLevel="0" r="102">
      <c r="A102" s="5" t="s">
        <f>=HYPERLINK("https://www.leilaoonline.com.br/lote/detalhe/333845", "37787")</f>
      </c>
      <c r="B102" s="4" t="s">
        <f>=HYPERLINK("https://www.leilaoonline.com.br/lote/detalhe/333845", " TANQUES DE IMPLEMENTO AGRÍCOLA  ANTONIOSI SUCATEADOS. - LOC. IPAUSSU")</f>
      </c>
      <c r="C102" s="4" t="inlineStr">
        <is>
          <t>Não vendido</t>
        </is>
      </c>
      <c r="D102" s="4" t="inlineStr">
        <is>
          <t>0</t>
        </is>
      </c>
      <c r="E102" s="5" t="inlineStr">
        <is>
          <t>1.000,00</t>
        </is>
      </c>
      <c r="F102" s="4" t="inlineStr">
        <is>
          <t>500.00</t>
        </is>
      </c>
    </row>
    <row collapsed="false" customFormat="false" customHeight="false" hidden="false" ht="12.1" outlineLevel="0" r="103">
      <c r="A103" s="5" t="s">
        <f>=HYPERLINK("https://www.leilaoonline.com.br/lote/detalhe/333849", "37788")</f>
      </c>
      <c r="B103" s="4" t="s">
        <f>=HYPERLINK("https://www.leilaoonline.com.br/lote/detalhe/333849", " TUBOS E CONEXÕES DE IRRIGAÇÃO SUCATEADOS. - 20 UNIDADES - APROX. 300 KG - (VENDA POR KG). - LOC. IPAUSSU")</f>
      </c>
      <c r="C103" s="4" t="inlineStr">
        <is>
          <t>Não vendido</t>
        </is>
      </c>
      <c r="D103" s="4" t="inlineStr">
        <is>
          <t>37</t>
        </is>
      </c>
      <c r="E103" s="5" t="inlineStr">
        <is>
          <t>1.890,00</t>
        </is>
      </c>
      <c r="F103" s="4" t="inlineStr">
        <is>
          <t>0.10</t>
        </is>
      </c>
    </row>
    <row collapsed="false" customFormat="false" customHeight="false" hidden="false" ht="12.1" outlineLevel="0" r="104">
      <c r="A104" s="5" t="s">
        <f>=HYPERLINK("https://www.leilaoonline.com.br/lote/detalhe/333823", "37789")</f>
      </c>
      <c r="B104" s="4" t="s">
        <f>=HYPERLINK("https://www.leilaoonline.com.br/lote/detalhe/333823", " PULVERIZADOR. - FR48281. - LOC. IPAUSSU")</f>
      </c>
      <c r="C104" s="4" t="inlineStr">
        <is>
          <t>Vendido</t>
        </is>
      </c>
      <c r="D104" s="4" t="inlineStr">
        <is>
          <t>1</t>
        </is>
      </c>
      <c r="E104" s="5" t="inlineStr">
        <is>
          <t>1.000,00</t>
        </is>
      </c>
      <c r="F104" s="4" t="inlineStr">
        <is>
          <t>500.00</t>
        </is>
      </c>
    </row>
    <row collapsed="false" customFormat="false" customHeight="false" hidden="false" ht="12.1" outlineLevel="0" r="105">
      <c r="A105" s="5" t="s">
        <f>=HYPERLINK("https://www.leilaoonline.com.br/lote/detalhe/333824", "37790")</f>
      </c>
      <c r="B105" s="4" t="s">
        <f>=HYPERLINK("https://www.leilaoonline.com.br/lote/detalhe/333824", " DOIS TROCADORES DE CALOR SUCATEADOS E TANQUE DE INOX. - N/E. - LOC. TARUMÃ")</f>
      </c>
      <c r="C105" s="4" t="inlineStr">
        <is>
          <t>Não vendido</t>
        </is>
      </c>
      <c r="D105" s="4" t="inlineStr">
        <is>
          <t>3</t>
        </is>
      </c>
      <c r="E105" s="5" t="inlineStr">
        <is>
          <t>2.200,00</t>
        </is>
      </c>
      <c r="F105" s="4" t="inlineStr">
        <is>
          <t>500.00</t>
        </is>
      </c>
    </row>
    <row collapsed="false" customFormat="false" customHeight="false" hidden="false" ht="12.1" outlineLevel="0" r="106">
      <c r="A106" s="5" t="s">
        <f>=HYPERLINK("https://www.leilaoonline.com.br/lote/detalhe/333847", "37791")</f>
      </c>
      <c r="B106" s="4" t="s">
        <f>=HYPERLINK("https://www.leilaoonline.com.br/lote/detalhe/333847", "RESERVATÓRIO DE ÁGUA SUCATEADO. - LOC. TARUMÃ")</f>
      </c>
      <c r="C106" s="4" t="inlineStr">
        <is>
          <t>Não vendido</t>
        </is>
      </c>
      <c r="D106" s="4" t="inlineStr">
        <is>
          <t>0</t>
        </is>
      </c>
      <c r="E106" s="5" t="inlineStr">
        <is>
          <t>1.000,00</t>
        </is>
      </c>
      <c r="F106" s="4" t="inlineStr">
        <is>
          <t>500.00</t>
        </is>
      </c>
    </row>
    <row collapsed="false" customFormat="false" customHeight="false" hidden="false" ht="12.1" outlineLevel="0" r="107">
      <c r="A107" s="5" t="s">
        <f>=HYPERLINK("https://www.leilaoonline.com.br/lote/detalhe/333825", "37792")</f>
      </c>
      <c r="B107" s="4" t="s">
        <f>=HYPERLINK("https://www.leilaoonline.com.br/lote/detalhe/333825", " MÁQUINAS DE SOLDA E AR-CONDICIONADO SUCATEADOS. - N/E. - LOC. TARUMÃ")</f>
      </c>
      <c r="C107" s="4" t="inlineStr">
        <is>
          <t>Vendido</t>
        </is>
      </c>
      <c r="D107" s="4" t="inlineStr">
        <is>
          <t>15</t>
        </is>
      </c>
      <c r="E107" s="5" t="inlineStr">
        <is>
          <t>4.500,00</t>
        </is>
      </c>
      <c r="F107" s="4" t="inlineStr">
        <is>
          <t>250.00</t>
        </is>
      </c>
    </row>
    <row collapsed="false" customFormat="false" customHeight="false" hidden="false" ht="12.1" outlineLevel="0" r="108">
      <c r="A108" s="5" t="s">
        <f>=HYPERLINK("https://www.leilaoonline.com.br/lote/detalhe/333827", "37793")</f>
      </c>
      <c r="B108" s="4" t="s">
        <f>=HYPERLINK("https://www.leilaoonline.com.br/lote/detalhe/333827", " TANQUES DE FIBRA E AÇO CARBONO SUCATEADOS. - N/E. - LOC. TARUMÃ")</f>
      </c>
      <c r="C108" s="4" t="inlineStr">
        <is>
          <t>Não vendido</t>
        </is>
      </c>
      <c r="D108" s="4" t="inlineStr">
        <is>
          <t>0</t>
        </is>
      </c>
      <c r="E108" s="5" t="inlineStr">
        <is>
          <t>1.000,00</t>
        </is>
      </c>
      <c r="F108" s="4" t="inlineStr">
        <is>
          <t>500.00</t>
        </is>
      </c>
    </row>
    <row collapsed="false" customFormat="false" customHeight="false" hidden="false" ht="12.1" outlineLevel="0" r="109">
      <c r="A109" s="5" t="s">
        <f>=HYPERLINK("https://www.leilaoonline.com.br/lote/detalhe/333848", "37794")</f>
      </c>
      <c r="B109" s="4" t="s">
        <f>=HYPERLINK("https://www.leilaoonline.com.br/lote/detalhe/333848", "SUCATA DE BATEDEIRA DE AÇÚCAR. - LOC. TARUMÃ")</f>
      </c>
      <c r="C109" s="4" t="inlineStr">
        <is>
          <t>Vendido</t>
        </is>
      </c>
      <c r="D109" s="4" t="inlineStr">
        <is>
          <t>2</t>
        </is>
      </c>
      <c r="E109" s="5" t="inlineStr">
        <is>
          <t>2.000,00</t>
        </is>
      </c>
      <c r="F109" s="4" t="inlineStr">
        <is>
          <t>500.00</t>
        </is>
      </c>
    </row>
    <row collapsed="false" customFormat="false" customHeight="false" hidden="false" ht="12.1" outlineLevel="0" r="110">
      <c r="A110" s="5" t="s">
        <f>=HYPERLINK("https://www.leilaoonline.com.br/lote/detalhe/333850", "37795")</f>
      </c>
      <c r="B110" s="4" t="s">
        <f>=HYPERLINK("https://www.leilaoonline.com.br/lote/detalhe/333850", "TANQUE INOX SAMAR. - PT.161253. - LOC. TARUMÃ")</f>
      </c>
      <c r="C110" s="4" t="inlineStr">
        <is>
          <t>Vendido</t>
        </is>
      </c>
      <c r="D110" s="4" t="inlineStr">
        <is>
          <t>1</t>
        </is>
      </c>
      <c r="E110" s="5" t="inlineStr">
        <is>
          <t>1.500,00</t>
        </is>
      </c>
      <c r="F110" s="4" t="inlineStr">
        <is>
          <t>250.00</t>
        </is>
      </c>
    </row>
    <row collapsed="false" customFormat="false" customHeight="false" hidden="false" ht="12.1" outlineLevel="0" r="111">
      <c r="A111" s="5" t="s">
        <f>=HYPERLINK("https://www.leilaoonline.com.br/lote/detalhe/333826", "37799")</f>
      </c>
      <c r="B111" s="4" t="s">
        <f>=HYPERLINK("https://www.leilaoonline.com.br/lote/detalhe/333826", "PENEIRA ROTATIVA MOENDA 54". - LOC. PARAGUAÇU")</f>
      </c>
      <c r="C111" s="4" t="inlineStr">
        <is>
          <t>Não vendido</t>
        </is>
      </c>
      <c r="D111" s="4" t="inlineStr">
        <is>
          <t>0</t>
        </is>
      </c>
      <c r="E111" s="5" t="inlineStr">
        <is>
          <t>10.000,00</t>
        </is>
      </c>
      <c r="F111" s="4" t="inlineStr">
        <is>
          <t>500.00</t>
        </is>
      </c>
    </row>
    <row collapsed="false" customFormat="false" customHeight="false" hidden="false" ht="12.1" outlineLevel="0" r="112">
      <c r="A112" s="5" t="s">
        <f>=HYPERLINK("https://www.leilaoonline.com.br/lote/detalhe/334514", "38000")</f>
      </c>
      <c r="B112" s="4" t="s">
        <f>=HYPERLINK("https://www.leilaoonline.com.br/lote/detalhe/334514", " TRATOR CASE PUMA 200 4x4; ANO 2017. - FR512035. - LOC. LAGOA DA PRATA ")</f>
      </c>
      <c r="C112" s="4" t="inlineStr">
        <is>
          <t>Não vendido</t>
        </is>
      </c>
      <c r="D112" s="4" t="inlineStr">
        <is>
          <t>21</t>
        </is>
      </c>
      <c r="E112" s="5" t="inlineStr">
        <is>
          <t>58.000,00</t>
        </is>
      </c>
      <c r="F112" s="4" t="inlineStr">
        <is>
          <t>1000.00</t>
        </is>
      </c>
    </row>
    <row collapsed="false" customFormat="false" customHeight="false" hidden="false" ht="12.1" outlineLevel="0" r="113">
      <c r="A113" s="5" t="s">
        <f>=HYPERLINK("https://www.leilaoonline.com.br/lote/detalhe/334669", "38003")</f>
      </c>
      <c r="B113" s="4" t="s">
        <f>=HYPERLINK("https://www.leilaoonline.com.br/lote/detalhe/334669", " CARROCERIA BAÚ. - N/A - LOC.LAGOA DA PRATA ")</f>
      </c>
      <c r="C113" s="4" t="inlineStr">
        <is>
          <t>Não vendido</t>
        </is>
      </c>
      <c r="D113" s="4" t="inlineStr">
        <is>
          <t>0</t>
        </is>
      </c>
      <c r="E113" s="5" t="inlineStr">
        <is>
          <t>2.500,00</t>
        </is>
      </c>
      <c r="F113" s="4" t="inlineStr">
        <is>
          <t>500.00</t>
        </is>
      </c>
    </row>
    <row collapsed="false" customFormat="false" customHeight="false" hidden="false" ht="12.1" outlineLevel="0" r="114">
      <c r="A114" s="5" t="s">
        <f>=HYPERLINK("https://www.leilaoonline.com.br/lote/detalhe/334670", "38004")</f>
      </c>
      <c r="B114" s="4" t="s">
        <f>=HYPERLINK("https://www.leilaoonline.com.br/lote/detalhe/334670", " CARROCERIA BAÚ - PT.290417 - LOC.LAGOA DA PRATA ")</f>
      </c>
      <c r="C114" s="4" t="inlineStr">
        <is>
          <t>Não vendido</t>
        </is>
      </c>
      <c r="D114" s="4" t="inlineStr">
        <is>
          <t>0</t>
        </is>
      </c>
      <c r="E114" s="5" t="inlineStr">
        <is>
          <t>2.500,00</t>
        </is>
      </c>
      <c r="F114" s="4" t="inlineStr">
        <is>
          <t>500.00</t>
        </is>
      </c>
    </row>
    <row collapsed="false" customFormat="false" customHeight="false" hidden="false" ht="12.1" outlineLevel="0" r="115">
      <c r="A115" s="5" t="s">
        <f>=HYPERLINK("https://www.leilaoonline.com.br/lote/detalhe/334673", "38005")</f>
      </c>
      <c r="B115" s="4" t="s">
        <f>=HYPERLINK("https://www.leilaoonline.com.br/lote/detalhe/334673", " CARROCERIA BAÚ - ANO 2012 -  PT.290455 - LOC.LAGOA DA PRATA ")</f>
      </c>
      <c r="C115" s="4" t="inlineStr">
        <is>
          <t>Não vendido</t>
        </is>
      </c>
      <c r="D115" s="4" t="inlineStr">
        <is>
          <t>0</t>
        </is>
      </c>
      <c r="E115" s="5" t="inlineStr">
        <is>
          <t>2.500,00</t>
        </is>
      </c>
      <c r="F115" s="4" t="inlineStr">
        <is>
          <t>500.00</t>
        </is>
      </c>
    </row>
    <row collapsed="false" customFormat="false" customHeight="false" hidden="false" ht="12.1" outlineLevel="0" r="116">
      <c r="A116" s="5" t="s">
        <f>=HYPERLINK("https://www.leilaoonline.com.br/lote/detalhe/334674", "38006")</f>
      </c>
      <c r="B116" s="4" t="s">
        <f>=HYPERLINK("https://www.leilaoonline.com.br/lote/detalhe/334674", " CARROCERIA BAÚ - ANO 2011 - PT.289123 LOC.LAGOA DA PRATA ")</f>
      </c>
      <c r="C116" s="4" t="inlineStr">
        <is>
          <t>Não vendido</t>
        </is>
      </c>
      <c r="D116" s="4" t="inlineStr">
        <is>
          <t>0</t>
        </is>
      </c>
      <c r="E116" s="5" t="inlineStr">
        <is>
          <t>2.500,00</t>
        </is>
      </c>
      <c r="F116" s="4" t="inlineStr">
        <is>
          <t>500.00</t>
        </is>
      </c>
    </row>
    <row collapsed="false" customFormat="false" customHeight="false" hidden="false" ht="12.1" outlineLevel="0" r="117">
      <c r="A117" s="5" t="s">
        <f>=HYPERLINK("https://www.leilaoonline.com.br/lote/detalhe/334417", "38030")</f>
      </c>
      <c r="B117" s="4" t="s">
        <f>=HYPERLINK("https://www.leilaoonline.com.br/lote/detalhe/334417", "CAMINHÃO FORD F12000; ANO 1999/1999; BRANCA + IMPLEMENTO MUNCK MICHELETO (CARROCERIA DIVERGENTE REGULARIZAÇÃO POR CONTA DO COMPRADOR). - FR11001114. - LOC. VALE DO ROSÁRIO ")</f>
      </c>
      <c r="C117" s="4" t="inlineStr">
        <is>
          <t>Vendido</t>
        </is>
      </c>
      <c r="D117" s="4" t="inlineStr">
        <is>
          <t>6</t>
        </is>
      </c>
      <c r="E117" s="5" t="inlineStr">
        <is>
          <t>59.000,00</t>
        </is>
      </c>
      <c r="F117" s="4" t="inlineStr">
        <is>
          <t>1000.00</t>
        </is>
      </c>
    </row>
    <row collapsed="false" customFormat="false" customHeight="false" hidden="false" ht="12.1" outlineLevel="0" r="118">
      <c r="A118" s="5" t="s">
        <f>=HYPERLINK("https://www.leilaoonline.com.br/lote/detalhe/334418", "38032")</f>
      </c>
      <c r="B118" s="4" t="s">
        <f>=HYPERLINK("https://www.leilaoonline.com.br/lote/detalhe/334418", " TRANSBORDO SANTA IZABEL TRIDEM 13T; ANO 2013. - FR11003689. - LOC. VALE DO ROSÁRIO")</f>
      </c>
      <c r="C118" s="4" t="inlineStr">
        <is>
          <t>Vendido</t>
        </is>
      </c>
      <c r="D118" s="4" t="inlineStr">
        <is>
          <t>4</t>
        </is>
      </c>
      <c r="E118" s="5" t="inlineStr">
        <is>
          <t>13.000,00</t>
        </is>
      </c>
      <c r="F118" s="4" t="inlineStr">
        <is>
          <t>1000.00</t>
        </is>
      </c>
    </row>
    <row collapsed="false" customFormat="false" customHeight="false" hidden="false" ht="12.1" outlineLevel="0" r="119">
      <c r="A119" s="5" t="s">
        <f>=HYPERLINK("https://www.leilaoonline.com.br/lote/detalhe/334580", "38042")</f>
      </c>
      <c r="B119" s="4" t="s">
        <f>=HYPERLINK("https://www.leilaoonline.com.br/lote/detalhe/334580", "CARROCERIA TANQUE FIBRA - S/FR - LOC. JUNQUEIRA")</f>
      </c>
      <c r="C119" s="4" t="inlineStr">
        <is>
          <t>Vendido</t>
        </is>
      </c>
      <c r="D119" s="4" t="inlineStr">
        <is>
          <t>9</t>
        </is>
      </c>
      <c r="E119" s="5" t="inlineStr">
        <is>
          <t>1.700,00</t>
        </is>
      </c>
      <c r="F119" s="4" t="inlineStr">
        <is>
          <t>150.00</t>
        </is>
      </c>
    </row>
    <row collapsed="false" customFormat="false" customHeight="false" hidden="false" ht="12.1" outlineLevel="0" r="120">
      <c r="A120" s="5" t="s">
        <f>=HYPERLINK("https://www.leilaoonline.com.br/lote/detalhe/334513", "38053")</f>
      </c>
      <c r="B120" s="4" t="s">
        <f>=HYPERLINK("https://www.leilaoonline.com.br/lote/detalhe/334513", "CARROCERIA BAÚ GASCOM - ANO 2016 - LOC. VALE DO ROSÁRIO     ")</f>
      </c>
      <c r="C120" s="4" t="inlineStr">
        <is>
          <t>Vendido</t>
        </is>
      </c>
      <c r="D120" s="4" t="inlineStr">
        <is>
          <t>24</t>
        </is>
      </c>
      <c r="E120" s="5" t="inlineStr">
        <is>
          <t>15.000,00</t>
        </is>
      </c>
      <c r="F120" s="4" t="inlineStr">
        <is>
          <t>500.00</t>
        </is>
      </c>
    </row>
    <row collapsed="false" customFormat="false" customHeight="false" hidden="false" ht="12.1" outlineLevel="0" r="121">
      <c r="A121" s="5" t="s">
        <f>=HYPERLINK("https://www.leilaoonline.com.br/lote/detalhe/334081", "38062")</f>
      </c>
      <c r="B121" s="4" t="s">
        <f>=HYPERLINK("https://www.leilaoonline.com.br/lote/detalhe/334081", "TRANSBORDO STA IZABEL; ANO 2013. - FR11003691. - LOC. VALE DO ROSÁRIO ")</f>
      </c>
      <c r="C121" s="4" t="inlineStr">
        <is>
          <t>Vendido</t>
        </is>
      </c>
      <c r="D121" s="4" t="inlineStr">
        <is>
          <t>2</t>
        </is>
      </c>
      <c r="E121" s="5" t="inlineStr">
        <is>
          <t>12.000,00</t>
        </is>
      </c>
      <c r="F121" s="4" t="inlineStr">
        <is>
          <t>1000.00</t>
        </is>
      </c>
    </row>
    <row collapsed="false" customFormat="false" customHeight="false" hidden="false" ht="12.1" outlineLevel="0" r="122">
      <c r="A122" s="5" t="s">
        <f>=HYPERLINK("https://www.leilaoonline.com.br/lote/detalhe/334082", "38063")</f>
      </c>
      <c r="B122" s="4" t="s">
        <f>=HYPERLINK("https://www.leilaoonline.com.br/lote/detalhe/334082", "TRANSBORDO STA IZABEL TRIDEM 13T; ANO 2014. - FR11003062. - LOC. VALE DO ROSÁRIO ")</f>
      </c>
      <c r="C122" s="4" t="inlineStr">
        <is>
          <t>Vendido</t>
        </is>
      </c>
      <c r="D122" s="4" t="inlineStr">
        <is>
          <t>1</t>
        </is>
      </c>
      <c r="E122" s="5" t="inlineStr">
        <is>
          <t>11.000,00</t>
        </is>
      </c>
      <c r="F122" s="4" t="inlineStr">
        <is>
          <t>1000.00</t>
        </is>
      </c>
    </row>
    <row collapsed="false" customFormat="false" customHeight="false" hidden="false" ht="12.1" outlineLevel="0" r="123">
      <c r="A123" s="5" t="s">
        <f>=HYPERLINK("https://www.leilaoonline.com.br/lote/detalhe/334086", "38064")</f>
      </c>
      <c r="B123" s="4" t="s">
        <f>=HYPERLINK("https://www.leilaoonline.com.br/lote/detalhe/334086", "TRANSBORDO STA IZABEL TRIDEM 13T; ANO 2013. - FR11003736. - LOC. VALE DO ROSÁRIO ")</f>
      </c>
      <c r="C123" s="4" t="inlineStr">
        <is>
          <t>Vendido</t>
        </is>
      </c>
      <c r="D123" s="4" t="inlineStr">
        <is>
          <t>2</t>
        </is>
      </c>
      <c r="E123" s="5" t="inlineStr">
        <is>
          <t>14.000,00</t>
        </is>
      </c>
      <c r="F123" s="4" t="inlineStr">
        <is>
          <t>1000.00</t>
        </is>
      </c>
    </row>
    <row collapsed="false" customFormat="false" customHeight="false" hidden="false" ht="12.1" outlineLevel="0" r="124">
      <c r="A124" s="5" t="s">
        <f>=HYPERLINK("https://www.leilaoonline.com.br/lote/detalhe/334088", "38065")</f>
      </c>
      <c r="B124" s="4" t="s">
        <f>=HYPERLINK("https://www.leilaoonline.com.br/lote/detalhe/334088", "TRANSBORDO STA IZABEL TRIDEM 13T; ANO 2013. - FR11003701. - LOC. VALE DO ROSÁRIO ")</f>
      </c>
      <c r="C124" s="4" t="inlineStr">
        <is>
          <t>Vendido</t>
        </is>
      </c>
      <c r="D124" s="4" t="inlineStr">
        <is>
          <t>1</t>
        </is>
      </c>
      <c r="E124" s="5" t="inlineStr">
        <is>
          <t>13.000,00</t>
        </is>
      </c>
      <c r="F124" s="4" t="inlineStr">
        <is>
          <t>1000.00</t>
        </is>
      </c>
    </row>
    <row collapsed="false" customFormat="false" customHeight="false" hidden="false" ht="12.1" outlineLevel="0" r="125">
      <c r="A125" s="5" t="s">
        <f>=HYPERLINK("https://www.leilaoonline.com.br/lote/detalhe/334084", "38066")</f>
      </c>
      <c r="B125" s="4" t="s">
        <f>=HYPERLINK("https://www.leilaoonline.com.br/lote/detalhe/334084", "TRANSBORDO STA IZABEL TRIDEM 13T; ANO 2013. - FR11003723. - LOC. VALE DO ROSÁRIO ")</f>
      </c>
      <c r="C125" s="4" t="inlineStr">
        <is>
          <t>Vendido</t>
        </is>
      </c>
      <c r="D125" s="4" t="inlineStr">
        <is>
          <t>1</t>
        </is>
      </c>
      <c r="E125" s="5" t="inlineStr">
        <is>
          <t>13.000,00</t>
        </is>
      </c>
      <c r="F125" s="4" t="inlineStr">
        <is>
          <t>1000.00</t>
        </is>
      </c>
    </row>
    <row collapsed="false" customFormat="false" customHeight="false" hidden="false" ht="12.1" outlineLevel="0" r="126">
      <c r="A126" s="5" t="s">
        <f>=HYPERLINK("https://www.leilaoonline.com.br/lote/detalhe/334089", "38068")</f>
      </c>
      <c r="B126" s="4" t="s">
        <f>=HYPERLINK("https://www.leilaoonline.com.br/lote/detalhe/334089", "COLHEDORA JOHN DEERE 3522 2L; ANO 2015. - FR117569. - LOC. BONFIM ")</f>
      </c>
      <c r="C126" s="4" t="inlineStr">
        <is>
          <t>Não vendido</t>
        </is>
      </c>
      <c r="D126" s="4" t="inlineStr">
        <is>
          <t>1</t>
        </is>
      </c>
      <c r="E126" s="5" t="inlineStr">
        <is>
          <t>20.000,00</t>
        </is>
      </c>
      <c r="F126" s="4" t="inlineStr">
        <is>
          <t>1000.00</t>
        </is>
      </c>
    </row>
    <row collapsed="false" customFormat="false" customHeight="false" hidden="false" ht="12.1" outlineLevel="0" r="127">
      <c r="A127" s="5" t="s">
        <f>=HYPERLINK("https://www.leilaoonline.com.br/lote/detalhe/334280", "38069")</f>
      </c>
      <c r="B127" s="4" t="s">
        <f>=HYPERLINK("https://www.leilaoonline.com.br/lote/detalhe/334280", "HIDRO ROLL HIRRIGABRASIL; ANO 2004. - FR14003019. - LOC. ARARAQUARA")</f>
      </c>
      <c r="C127" s="4" t="inlineStr">
        <is>
          <t>Não vendido</t>
        </is>
      </c>
      <c r="D127" s="4" t="inlineStr">
        <is>
          <t>3</t>
        </is>
      </c>
      <c r="E127" s="5" t="inlineStr">
        <is>
          <t>2.500,00</t>
        </is>
      </c>
      <c r="F127" s="4" t="inlineStr">
        <is>
          <t>250.00</t>
        </is>
      </c>
    </row>
    <row collapsed="false" customFormat="false" customHeight="false" hidden="false" ht="12.1" outlineLevel="0" r="128">
      <c r="A128" s="5" t="s">
        <f>=HYPERLINK("https://www.leilaoonline.com.br/lote/detalhe/334281", "38070")</f>
      </c>
      <c r="B128" s="4" t="s">
        <f>=HYPERLINK("https://www.leilaoonline.com.br/lote/detalhe/334281", "ROÇADEIRA HIDRÁULICA; ANO 1995. - FR134019. - LOC. ARARAQUARA ")</f>
      </c>
      <c r="C128" s="4" t="inlineStr">
        <is>
          <t>Vendido</t>
        </is>
      </c>
      <c r="D128" s="4" t="inlineStr">
        <is>
          <t>26</t>
        </is>
      </c>
      <c r="E128" s="5" t="inlineStr">
        <is>
          <t>7.250,00</t>
        </is>
      </c>
      <c r="F128" s="4" t="inlineStr">
        <is>
          <t>250.00</t>
        </is>
      </c>
    </row>
    <row collapsed="false" customFormat="false" customHeight="false" hidden="false" ht="12.1" outlineLevel="0" r="129">
      <c r="A129" s="5" t="s">
        <f>=HYPERLINK("https://www.leilaoonline.com.br/lote/detalhe/334282", "38071")</f>
      </c>
      <c r="B129" s="4" t="s">
        <f>=HYPERLINK("https://www.leilaoonline.com.br/lote/detalhe/334282", "GRADE NIVELADORA; ANO 2012. - FR48156. - LOC. ARARAQUARA")</f>
      </c>
      <c r="C129" s="4" t="inlineStr">
        <is>
          <t>Não vendido</t>
        </is>
      </c>
      <c r="D129" s="4" t="inlineStr">
        <is>
          <t>1</t>
        </is>
      </c>
      <c r="E129" s="5" t="inlineStr">
        <is>
          <t>3.000,00</t>
        </is>
      </c>
      <c r="F129" s="4" t="inlineStr">
        <is>
          <t>500.00</t>
        </is>
      </c>
    </row>
    <row collapsed="false" customFormat="false" customHeight="false" hidden="false" ht="12.1" outlineLevel="0" r="130">
      <c r="A130" s="5" t="s">
        <f>=HYPERLINK("https://www.leilaoonline.com.br/lote/detalhe/334283", "38072")</f>
      </c>
      <c r="B130" s="4" t="s">
        <f>=HYPERLINK("https://www.leilaoonline.com.br/lote/detalhe/334283", "GRADE; ANO 2001. - FR361183. - LOC. ARARAQUARA ")</f>
      </c>
      <c r="C130" s="4" t="inlineStr">
        <is>
          <t>Vendido</t>
        </is>
      </c>
      <c r="D130" s="4" t="inlineStr">
        <is>
          <t>28</t>
        </is>
      </c>
      <c r="E130" s="5" t="inlineStr">
        <is>
          <t>16.500,00</t>
        </is>
      </c>
      <c r="F130" s="4" t="inlineStr">
        <is>
          <t>500.00</t>
        </is>
      </c>
    </row>
    <row collapsed="false" customFormat="false" customHeight="false" hidden="false" ht="12.1" outlineLevel="0" r="131">
      <c r="A131" s="5" t="s">
        <f>=HYPERLINK("https://www.leilaoonline.com.br/lote/detalhe/334284", "38073")</f>
      </c>
      <c r="B131" s="4" t="s">
        <f>=HYPERLINK("https://www.leilaoonline.com.br/lote/detalhe/334284", "VEJA VÍDEO!!! CAMINHÃO FORD/CARGO 2422; ANO 1996/1997; BRANCA. - FR11001013 - LOC. VALE DO ROSÁRIO ")</f>
      </c>
      <c r="C131" s="4" t="inlineStr">
        <is>
          <t>Não vendido</t>
        </is>
      </c>
      <c r="D131" s="4" t="inlineStr">
        <is>
          <t>50</t>
        </is>
      </c>
      <c r="E131" s="5" t="inlineStr">
        <is>
          <t>79.000,00</t>
        </is>
      </c>
      <c r="F131" s="4" t="inlineStr">
        <is>
          <t>1000.00</t>
        </is>
      </c>
    </row>
    <row collapsed="false" customFormat="false" customHeight="false" hidden="false" ht="12.1" outlineLevel="0" r="132">
      <c r="A132" s="5" t="s">
        <f>=HYPERLINK("https://www.leilaoonline.com.br/lote/detalhe/334285", "38074")</f>
      </c>
      <c r="B132" s="4" t="s">
        <f>=HYPERLINK("https://www.leilaoonline.com.br/lote/detalhe/334285", "COLHEDORA CASE A 8810 1L; ANO 2018. - FR11002202 - LOC. VALE DO ROSÁRIO ")</f>
      </c>
      <c r="C132" s="4" t="inlineStr">
        <is>
          <t>Não vendido</t>
        </is>
      </c>
      <c r="D132" s="4" t="inlineStr">
        <is>
          <t>0</t>
        </is>
      </c>
      <c r="E132" s="5" t="inlineStr">
        <is>
          <t>50.000,00</t>
        </is>
      </c>
      <c r="F132" s="4" t="inlineStr">
        <is>
          <t>1000.00</t>
        </is>
      </c>
    </row>
    <row collapsed="false" customFormat="false" customHeight="false" hidden="false" ht="12.1" outlineLevel="0" r="133">
      <c r="A133" s="5" t="s">
        <f>=HYPERLINK("https://www.leilaoonline.com.br/lote/detalhe/334286", "38075")</f>
      </c>
      <c r="B133" s="4" t="s">
        <f>=HYPERLINK("https://www.leilaoonline.com.br/lote/detalhe/334286", "COLHEDORA CASE A 8810 1 L; ANO 2018. - FR9002607. - LOC. VALE DO ROSÁRIO ")</f>
      </c>
      <c r="C133" s="4" t="inlineStr">
        <is>
          <t>Não vendido</t>
        </is>
      </c>
      <c r="D133" s="4" t="inlineStr">
        <is>
          <t>0</t>
        </is>
      </c>
      <c r="E133" s="5" t="inlineStr">
        <is>
          <t>60.000,00</t>
        </is>
      </c>
      <c r="F133" s="4" t="inlineStr">
        <is>
          <t>2000.00</t>
        </is>
      </c>
    </row>
    <row collapsed="false" customFormat="false" customHeight="false" hidden="false" ht="12.1" outlineLevel="0" r="134">
      <c r="A134" s="5" t="s">
        <f>=HYPERLINK("https://www.leilaoonline.com.br/lote/detalhe/334287", "38076")</f>
      </c>
      <c r="B134" s="4" t="s">
        <f>=HYPERLINK("https://www.leilaoonline.com.br/lote/detalhe/334287", "COLHEDORA CASE A 8810 1L; ANO 2018. - FR11002212 - LOC. VALE DO ROSARIO ")</f>
      </c>
      <c r="C134" s="4" t="inlineStr">
        <is>
          <t>Não vendido</t>
        </is>
      </c>
      <c r="D134" s="4" t="inlineStr">
        <is>
          <t>1</t>
        </is>
      </c>
      <c r="E134" s="5" t="inlineStr">
        <is>
          <t>50.000,00</t>
        </is>
      </c>
      <c r="F134" s="4" t="inlineStr">
        <is>
          <t>1000.00</t>
        </is>
      </c>
    </row>
    <row collapsed="false" customFormat="false" customHeight="false" hidden="false" ht="12.1" outlineLevel="0" r="135">
      <c r="A135" s="5" t="s">
        <f>=HYPERLINK("https://www.leilaoonline.com.br/lote/detalhe/334365", "38077")</f>
      </c>
      <c r="B135" s="4" t="s">
        <f>=HYPERLINK("https://www.leilaoonline.com.br/lote/detalhe/334365", "TORNO MECÂNICO OFICINA 650 IMOR. - N/A - LOC. VALE DO ROSÁRIO ")</f>
      </c>
      <c r="C135" s="4" t="inlineStr">
        <is>
          <t>Vendido</t>
        </is>
      </c>
      <c r="D135" s="4" t="inlineStr">
        <is>
          <t>44</t>
        </is>
      </c>
      <c r="E135" s="5" t="inlineStr">
        <is>
          <t>26.500,00</t>
        </is>
      </c>
      <c r="F135" s="4" t="inlineStr">
        <is>
          <t>500.00</t>
        </is>
      </c>
    </row>
    <row collapsed="false" customFormat="false" customHeight="false" hidden="false" ht="12.1" outlineLevel="0" r="136">
      <c r="A136" s="5" t="s">
        <f>=HYPERLINK("https://www.leilaoonline.com.br/lote/detalhe/334366", "38078")</f>
      </c>
      <c r="B136" s="4" t="s">
        <f>=HYPERLINK("https://www.leilaoonline.com.br/lote/detalhe/334366", "APROX. 04 BOMBAS DE VÁCUO BV1003, 07 REDUTORES, 01 ENGRENAGEM DE REDUTOR TA71, 01 BOMBA EQI-2-100-50, 01 EQUIPAMENTO BMAR-30-SL. - N/A. - LOC. VALE DO ROSÁRIO ")</f>
      </c>
      <c r="C136" s="4" t="inlineStr">
        <is>
          <t>Vendido</t>
        </is>
      </c>
      <c r="D136" s="4" t="inlineStr">
        <is>
          <t>67</t>
        </is>
      </c>
      <c r="E136" s="5" t="inlineStr">
        <is>
          <t>35.500,00</t>
        </is>
      </c>
      <c r="F136" s="4" t="inlineStr">
        <is>
          <t>500.00</t>
        </is>
      </c>
    </row>
    <row collapsed="false" customFormat="false" customHeight="false" hidden="false" ht="12.1" outlineLevel="0" r="137">
      <c r="A137" s="5" t="s">
        <f>=HYPERLINK("https://www.leilaoonline.com.br/lote/detalhe/334522", "38079")</f>
      </c>
      <c r="B137" s="4" t="s">
        <f>=HYPERLINK("https://www.leilaoonline.com.br/lote/detalhe/334522", "REBOQUE 4E SERGOMEL 12,5M; ANO 2014/2014. - FR1614 - LOC. BONFIM ")</f>
      </c>
      <c r="C137" s="4" t="inlineStr">
        <is>
          <t>Não vendido</t>
        </is>
      </c>
      <c r="D137" s="4" t="inlineStr">
        <is>
          <t>26</t>
        </is>
      </c>
      <c r="E137" s="5" t="inlineStr">
        <is>
          <t>56.000,00</t>
        </is>
      </c>
      <c r="F137" s="4" t="inlineStr">
        <is>
          <t>1000.00</t>
        </is>
      </c>
    </row>
    <row collapsed="false" customFormat="false" customHeight="false" hidden="false" ht="12.1" outlineLevel="0" r="138">
      <c r="A138" s="5" t="s">
        <f>=HYPERLINK("https://www.leilaoonline.com.br/lote/detalhe/334523", "38080")</f>
      </c>
      <c r="B138" s="4" t="s">
        <f>=HYPERLINK("https://www.leilaoonline.com.br/lote/detalhe/334523", "SEMI REBOQUE RANDONSP 12,50 M; ANO 2013/2014. - FR121610 - LOC. BONFIM  ")</f>
      </c>
      <c r="C138" s="4" t="inlineStr">
        <is>
          <t>Vendido</t>
        </is>
      </c>
      <c r="D138" s="4" t="inlineStr">
        <is>
          <t>20</t>
        </is>
      </c>
      <c r="E138" s="5" t="inlineStr">
        <is>
          <t>71.000,00</t>
        </is>
      </c>
      <c r="F138" s="4" t="inlineStr">
        <is>
          <t>1000.00</t>
        </is>
      </c>
    </row>
    <row collapsed="false" customFormat="false" customHeight="false" hidden="false" ht="12.1" outlineLevel="0" r="139">
      <c r="A139" s="5" t="s">
        <f>=HYPERLINK("https://www.leilaoonline.com.br/lote/detalhe/334650", "38081")</f>
      </c>
      <c r="B139" s="4" t="s">
        <f>=HYPERLINK("https://www.leilaoonline.com.br/lote/detalhe/334650", " TROCADOR DE CALOR MA30 -SFM E APROXIMADAMENTE 62; ANO 2003 -  PT.289180 - LOC. LAGOA DA PRATA ")</f>
      </c>
      <c r="C139" s="4" t="inlineStr">
        <is>
          <t>Vendido</t>
        </is>
      </c>
      <c r="D139" s="4" t="inlineStr">
        <is>
          <t>1</t>
        </is>
      </c>
      <c r="E139" s="5" t="inlineStr">
        <is>
          <t>5.000,00</t>
        </is>
      </c>
      <c r="F139" s="4" t="inlineStr">
        <is>
          <t>500.00</t>
        </is>
      </c>
    </row>
    <row collapsed="false" customFormat="false" customHeight="false" hidden="false" ht="12.1" outlineLevel="0" r="140">
      <c r="A140" s="5" t="s">
        <f>=HYPERLINK("https://www.leilaoonline.com.br/lote/detalhe/334654", "38083")</f>
      </c>
      <c r="B140" s="4" t="s">
        <f>=HYPERLINK("https://www.leilaoonline.com.br/lote/detalhe/334654", " APROX.01 PNEU 23.1-26 NOVO, 03 365/80R20 NOVO, 02 365/80R20 REFORMADO, 01 16.9-26 REFORMADO, 01 18.4-26 REFORMADO, 30 175/70R14 NOVO, 09 205/75R16 NOVO, 04 205/60R16 NOVO, 01 195/60R15 NOVO. - APROX. 52 UNDS. - N/A - LOC.LAGOA DA PRATA ")</f>
      </c>
      <c r="C140" s="4" t="inlineStr">
        <is>
          <t>Não vendido</t>
        </is>
      </c>
      <c r="D140" s="4" t="inlineStr">
        <is>
          <t>0</t>
        </is>
      </c>
      <c r="E140" s="5" t="inlineStr">
        <is>
          <t>10.000,00</t>
        </is>
      </c>
      <c r="F140" s="4" t="inlineStr">
        <is>
          <t>1000.00</t>
        </is>
      </c>
    </row>
    <row collapsed="false" customFormat="false" customHeight="false" hidden="false" ht="12.1" outlineLevel="0" r="141">
      <c r="A141" s="5" t="s">
        <f>=HYPERLINK("https://www.leilaoonline.com.br/lote/detalhe/334662", "38084")</f>
      </c>
      <c r="B141" s="4" t="s">
        <f>=HYPERLINK("https://www.leilaoonline.com.br/lote/detalhe/334662", " APROX.07 TRUCKS DE COLHEDORA, 10 ROLOS DE ELEVADOR COLHEDORA, 05 CUBOS DE TRAÇÃO COLHEDORA CASE, 02 ELEVADOR DE COLHEDORA CASE - N/A - LOC.LAGOA DA PRATA ")</f>
      </c>
      <c r="C141" s="4" t="inlineStr">
        <is>
          <t>Vendido</t>
        </is>
      </c>
      <c r="D141" s="4" t="inlineStr">
        <is>
          <t>11</t>
        </is>
      </c>
      <c r="E141" s="5" t="inlineStr">
        <is>
          <t>12.000,00</t>
        </is>
      </c>
      <c r="F141" s="4" t="inlineStr">
        <is>
          <t>500.00</t>
        </is>
      </c>
    </row>
    <row collapsed="false" customFormat="false" customHeight="false" hidden="false" ht="12.1" outlineLevel="0" r="142">
      <c r="A142" s="5" t="s">
        <f>=HYPERLINK("https://www.leilaoonline.com.br/lote/detalhe/334664", "38085")</f>
      </c>
      <c r="B142" s="4" t="s">
        <f>=HYPERLINK("https://www.leilaoonline.com.br/lote/detalhe/334664", " 03 COMPRESSOR AR COMPRIMIDO 220V;  E 01 RESERVATÓRIO DE AR COMPRIMIDO. - N/A - LOC.LAGOA DA PRATA ")</f>
      </c>
      <c r="C142" s="4" t="inlineStr">
        <is>
          <t>Vendido</t>
        </is>
      </c>
      <c r="D142" s="4" t="inlineStr">
        <is>
          <t>4</t>
        </is>
      </c>
      <c r="E142" s="5" t="inlineStr">
        <is>
          <t>6.500,00</t>
        </is>
      </c>
      <c r="F142" s="4" t="inlineStr">
        <is>
          <t>500.00</t>
        </is>
      </c>
    </row>
    <row collapsed="false" customFormat="false" customHeight="false" hidden="false" ht="12.1" outlineLevel="0" r="143">
      <c r="A143" s="5" t="s">
        <f>=HYPERLINK("https://www.leilaoonline.com.br/lote/detalhe/334663", "38086")</f>
      </c>
      <c r="B143" s="4" t="s">
        <f>=HYPERLINK("https://www.leilaoonline.com.br/lote/detalhe/334663", " 02 GERADOR 220V. - N/A - LOC.LAGOA DA PRATA ")</f>
      </c>
      <c r="C143" s="4" t="inlineStr">
        <is>
          <t>Vendido</t>
        </is>
      </c>
      <c r="D143" s="4" t="inlineStr">
        <is>
          <t>1</t>
        </is>
      </c>
      <c r="E143" s="5" t="inlineStr">
        <is>
          <t>1.000,00</t>
        </is>
      </c>
      <c r="F143" s="4" t="inlineStr">
        <is>
          <t>500.00</t>
        </is>
      </c>
    </row>
    <row collapsed="false" customFormat="false" customHeight="false" hidden="false" ht="12.1" outlineLevel="0" r="144">
      <c r="A144" s="5" t="s">
        <f>=HYPERLINK("https://www.leilaoonline.com.br/lote/detalhe/334665", "38087")</f>
      </c>
      <c r="B144" s="4" t="s">
        <f>=HYPERLINK("https://www.leilaoonline.com.br/lote/detalhe/334665", " APROX.14 SUPORTE DE HASTE SUBSOLADOR, 07 ESPAÇADORES DE GRADE, 08 MOLAS DE DESARME DUBSOLADOR, 08 HASTE DE ARADO, 11 PONTEIRAS, 04 DISCOS DE CORTE SUBSOLADOR COM SUPORTE, 10 DISCOS DE CORTE SUBSOLADOR - N/A - LOC. LAGOA DA PRATA ")</f>
      </c>
      <c r="C144" s="4" t="inlineStr">
        <is>
          <t>Não vendido</t>
        </is>
      </c>
      <c r="D144" s="4" t="inlineStr">
        <is>
          <t>0</t>
        </is>
      </c>
      <c r="E144" s="5" t="inlineStr">
        <is>
          <t>3.000,00</t>
        </is>
      </c>
      <c r="F144" s="4" t="inlineStr">
        <is>
          <t>500.00</t>
        </is>
      </c>
    </row>
    <row collapsed="false" customFormat="false" customHeight="false" hidden="false" ht="12.1" outlineLevel="0" r="145">
      <c r="A145" s="5" t="s">
        <f>=HYPERLINK("https://www.leilaoonline.com.br/lote/detalhe/334667", "38088")</f>
      </c>
      <c r="B145" s="4" t="s">
        <f>=HYPERLINK("https://www.leilaoonline.com.br/lote/detalhe/334667", " APROX.03 CORNETAS DE EIXO TRASEIRO MAGNUM 260, 01 BLOCO TRATOR CASE, 10 TAMBORES DE FREIO. - N/A - LOC. LAGOA DA PRATA ")</f>
      </c>
      <c r="C145" s="4" t="inlineStr">
        <is>
          <t>Não vendido</t>
        </is>
      </c>
      <c r="D145" s="4" t="inlineStr">
        <is>
          <t>0</t>
        </is>
      </c>
      <c r="E145" s="5" t="inlineStr">
        <is>
          <t>5.000,00</t>
        </is>
      </c>
      <c r="F145" s="4" t="inlineStr">
        <is>
          <t>500.00</t>
        </is>
      </c>
    </row>
    <row collapsed="false" customFormat="false" customHeight="false" hidden="false" ht="12.1" outlineLevel="0" r="146">
      <c r="A146" s="5" t="s">
        <f>=HYPERLINK("https://www.leilaoonline.com.br/lote/detalhe/334666", "38089")</f>
      </c>
      <c r="B146" s="4" t="s">
        <f>=HYPERLINK("https://www.leilaoonline.com.br/lote/detalhe/334666", " 01 REBITADEIRA DE LONA - PT.364346 - LOC. LAGOA DA PRATA ")</f>
      </c>
      <c r="C146" s="4" t="inlineStr">
        <is>
          <t>Não vendido</t>
        </is>
      </c>
      <c r="D146" s="4" t="inlineStr">
        <is>
          <t>0</t>
        </is>
      </c>
      <c r="E146" s="5" t="inlineStr">
        <is>
          <t>500,00</t>
        </is>
      </c>
      <c r="F146" s="4" t="inlineStr">
        <is>
          <t>500.00</t>
        </is>
      </c>
    </row>
    <row collapsed="false" customFormat="false" customHeight="false" hidden="false" ht="12.1" outlineLevel="0" r="147">
      <c r="A147" s="5" t="s">
        <f>=HYPERLINK("https://www.leilaoonline.com.br/lote/detalhe/334668", "38090")</f>
      </c>
      <c r="B147" s="4" t="s">
        <f>=HYPERLINK("https://www.leilaoonline.com.br/lote/detalhe/334668", " 01 BOMBA CENTRÍFUGA EQ 200-50 E 03 CARCAÇA DE BOMBA CENTRÍFUGA. - N/A - LOC.LAGOA DA PRATA ")</f>
      </c>
      <c r="C147" s="4" t="inlineStr">
        <is>
          <t>Vendido</t>
        </is>
      </c>
      <c r="D147" s="4" t="inlineStr">
        <is>
          <t>19</t>
        </is>
      </c>
      <c r="E147" s="5" t="inlineStr">
        <is>
          <t>10.000,00</t>
        </is>
      </c>
      <c r="F147" s="4" t="inlineStr">
        <is>
          <t>500.00</t>
        </is>
      </c>
    </row>
    <row collapsed="false" customFormat="false" customHeight="false" hidden="false" ht="12.1" outlineLevel="0" r="148">
      <c r="A148" s="5" t="s">
        <f>=HYPERLINK("https://www.leilaoonline.com.br/lote/detalhe/334653", "38091")</f>
      </c>
      <c r="B148" s="4" t="s">
        <f>=HYPERLINK("https://www.leilaoonline.com.br/lote/detalhe/334653", " REBOQUE/RODOFORT (ABRIGO). - ANO 2004/2004; VERDE. - FR514078/FR8004078 - LOC. LAGOA DA PRATA ")</f>
      </c>
      <c r="C148" s="4" t="inlineStr">
        <is>
          <t>Não vendido</t>
        </is>
      </c>
      <c r="D148" s="4" t="inlineStr">
        <is>
          <t>1</t>
        </is>
      </c>
      <c r="E148" s="5" t="inlineStr">
        <is>
          <t>10.000,00</t>
        </is>
      </c>
      <c r="F148" s="4" t="inlineStr">
        <is>
          <t>1000.00</t>
        </is>
      </c>
    </row>
    <row collapsed="false" customFormat="false" customHeight="false" hidden="false" ht="12.1" outlineLevel="0" r="149">
      <c r="A149" s="5" t="s">
        <f>=HYPERLINK("https://www.leilaoonline.com.br/lote/detalhe/334658", "38092")</f>
      </c>
      <c r="B149" s="4" t="s">
        <f>=HYPERLINK("https://www.leilaoonline.com.br/lote/detalhe/334658", "VEJA VÍDEO!!! COLHEDORA CASE 8800; ANO 2017. - FR8802156 - LOC. LAGOA DA PRATA ")</f>
      </c>
      <c r="C149" s="4" t="inlineStr">
        <is>
          <t>Vendido</t>
        </is>
      </c>
      <c r="D149" s="4" t="inlineStr">
        <is>
          <t>24</t>
        </is>
      </c>
      <c r="E149" s="5" t="inlineStr">
        <is>
          <t>118.000,00</t>
        </is>
      </c>
      <c r="F149" s="4" t="inlineStr">
        <is>
          <t>2000.00</t>
        </is>
      </c>
    </row>
    <row collapsed="false" customFormat="false" customHeight="false" hidden="false" ht="12.1" outlineLevel="0" r="150">
      <c r="A150" s="5" t="s">
        <f>=HYPERLINK("https://www.leilaoonline.com.br/lote/detalhe/334657", "38093")</f>
      </c>
      <c r="B150" s="4" t="s">
        <f>=HYPERLINK("https://www.leilaoonline.com.br/lote/detalhe/334657", " VEJA VIDEO!!! COLHEDORA CASE 8800; ANO 2017. - FR8802157 - LOC. LAGOA DA PRATA ")</f>
      </c>
      <c r="C150" s="4" t="inlineStr">
        <is>
          <t>Vendido</t>
        </is>
      </c>
      <c r="D150" s="4" t="inlineStr">
        <is>
          <t>24</t>
        </is>
      </c>
      <c r="E150" s="5" t="inlineStr">
        <is>
          <t>116.000,00</t>
        </is>
      </c>
      <c r="F150" s="4" t="inlineStr">
        <is>
          <t>2000.00</t>
        </is>
      </c>
    </row>
    <row collapsed="false" customFormat="false" customHeight="false" hidden="false" ht="12.1" outlineLevel="0" r="151">
      <c r="A151" s="5" t="s">
        <f>=HYPERLINK("https://www.leilaoonline.com.br/lote/detalhe/334656", "38094")</f>
      </c>
      <c r="B151" s="4" t="s">
        <f>=HYPERLINK("https://www.leilaoonline.com.br/lote/detalhe/334656", " CARROCERIA TANQUE GASCOM; ANO 2016. - N/A - LOC. LAGOA DA PRATA ")</f>
      </c>
      <c r="C151" s="4" t="inlineStr">
        <is>
          <t>Não vendido</t>
        </is>
      </c>
      <c r="D151" s="4" t="inlineStr">
        <is>
          <t>7</t>
        </is>
      </c>
      <c r="E151" s="5" t="inlineStr">
        <is>
          <t>16.500,00</t>
        </is>
      </c>
      <c r="F151" s="4" t="inlineStr">
        <is>
          <t>500.00</t>
        </is>
      </c>
    </row>
    <row collapsed="false" customFormat="false" customHeight="false" hidden="false" ht="12.1" outlineLevel="0" r="152">
      <c r="A152" s="5" t="s">
        <f>=HYPERLINK("https://www.leilaoonline.com.br/lote/detalhe/334652", "38095")</f>
      </c>
      <c r="B152" s="4" t="s">
        <f>=HYPERLINK("https://www.leilaoonline.com.br/lote/detalhe/334652", " VEJA VIDEO!!! GM/S10 2.4 RONTAN FLEX - ANO 2007/2008; BRANCA. - FR516003/8006003 - LOC. LAGOA DA PRATA ")</f>
      </c>
      <c r="C152" s="4" t="inlineStr">
        <is>
          <t>Vendido</t>
        </is>
      </c>
      <c r="D152" s="4" t="inlineStr">
        <is>
          <t>7</t>
        </is>
      </c>
      <c r="E152" s="5" t="inlineStr">
        <is>
          <t>26.000,00</t>
        </is>
      </c>
      <c r="F152" s="4" t="inlineStr">
        <is>
          <t>1000.00</t>
        </is>
      </c>
    </row>
    <row collapsed="false" customFormat="false" customHeight="false" hidden="false" ht="12.1" outlineLevel="0" r="153">
      <c r="A153" s="5" t="s">
        <f>=HYPERLINK("https://www.leilaoonline.com.br/lote/detalhe/334655", "38096")</f>
      </c>
      <c r="B153" s="4" t="s">
        <f>=HYPERLINK("https://www.leilaoonline.com.br/lote/detalhe/334655", " TRATOR JOHN DEERE D100; ANO 2015. - FR19629 - LOC. LAGOA DA PRATA ")</f>
      </c>
      <c r="C153" s="4" t="inlineStr">
        <is>
          <t>Vendido</t>
        </is>
      </c>
      <c r="D153" s="4" t="inlineStr">
        <is>
          <t>7</t>
        </is>
      </c>
      <c r="E153" s="5" t="inlineStr">
        <is>
          <t>8.000,00</t>
        </is>
      </c>
      <c r="F153" s="4" t="inlineStr">
        <is>
          <t>500.00</t>
        </is>
      </c>
    </row>
    <row collapsed="false" customFormat="false" customHeight="false" hidden="false" ht="12.1" outlineLevel="0" r="154">
      <c r="A154" s="5" t="s">
        <f>=HYPERLINK("https://www.leilaoonline.com.br/lote/detalhe/334671", "38097")</f>
      </c>
      <c r="B154" s="4" t="s">
        <f>=HYPERLINK("https://www.leilaoonline.com.br/lote/detalhe/334671", "ITENS DIVERSOS: ATUADOR , BORBOLETAS, HIDROMÊTRO E OUTROS - (VEJA DESCRITIVO DE ITENS)- LOC. LAGOA DA PRATA ")</f>
      </c>
      <c r="C154" s="4" t="inlineStr">
        <is>
          <t>Vendido</t>
        </is>
      </c>
      <c r="D154" s="4" t="inlineStr">
        <is>
          <t>2</t>
        </is>
      </c>
      <c r="E154" s="5" t="inlineStr">
        <is>
          <t>5.500,00</t>
        </is>
      </c>
      <c r="F154" s="4" t="inlineStr">
        <is>
          <t>500.00</t>
        </is>
      </c>
    </row>
    <row collapsed="false" customFormat="false" customHeight="false" hidden="false" ht="12.1" outlineLevel="0" r="155">
      <c r="A155" s="5" t="s">
        <f>=HYPERLINK("https://www.leilaoonline.com.br/lote/detalhe/334651", "38098")</f>
      </c>
      <c r="B155" s="4" t="s">
        <f>=HYPERLINK("https://www.leilaoonline.com.br/lote/detalhe/334651", "PRANCHA 2 EIXOS (SR/USICAMP SRCTUS 2E) - ANO 2007/2007; AMARELA. - FR4004110 - LOC.LAGOA DA PRATA ")</f>
      </c>
      <c r="C155" s="4" t="inlineStr">
        <is>
          <t>Não vendido</t>
        </is>
      </c>
      <c r="D155" s="4" t="inlineStr">
        <is>
          <t>17</t>
        </is>
      </c>
      <c r="E155" s="5" t="inlineStr">
        <is>
          <t>69.000,00</t>
        </is>
      </c>
      <c r="F155" s="4" t="inlineStr">
        <is>
          <t>1000.00</t>
        </is>
      </c>
    </row>
    <row collapsed="false" customFormat="false" customHeight="false" hidden="false" ht="12.1" outlineLevel="0" r="156">
      <c r="A156" s="5" t="s">
        <f>=HYPERLINK("https://www.leilaoonline.com.br/lote/detalhe/334093", "38100")</f>
      </c>
      <c r="B156" s="4" t="s">
        <f>=HYPERLINK("https://www.leilaoonline.com.br/lote/detalhe/334093", " 2 MÁQUINAS DE SOLDA; 1 PARAFUSADEIRA. - N/E. - LOC. BOM RETIRO ")</f>
      </c>
      <c r="C156" s="4" t="inlineStr">
        <is>
          <t>Vendido</t>
        </is>
      </c>
      <c r="D156" s="4" t="inlineStr">
        <is>
          <t>13</t>
        </is>
      </c>
      <c r="E156" s="5" t="inlineStr">
        <is>
          <t>8.500,00</t>
        </is>
      </c>
      <c r="F156" s="4" t="inlineStr">
        <is>
          <t>500.00</t>
        </is>
      </c>
    </row>
    <row collapsed="false" customFormat="false" customHeight="false" hidden="false" ht="12.1" outlineLevel="0" r="157">
      <c r="A157" s="5" t="s">
        <f>=HYPERLINK("https://www.leilaoonline.com.br/lote/detalhe/334092", "38101")</f>
      </c>
      <c r="B157" s="4" t="s">
        <f>=HYPERLINK("https://www.leilaoonline.com.br/lote/detalhe/334092", " PARAFUSADEIRA; PALETEIRA; MÁQUINA DE ROSCA; ESMERIL. - N/E. - LOC. BOM RETIRO ")</f>
      </c>
      <c r="C157" s="4" t="inlineStr">
        <is>
          <t>Vendido</t>
        </is>
      </c>
      <c r="D157" s="4" t="inlineStr">
        <is>
          <t>12</t>
        </is>
      </c>
      <c r="E157" s="5" t="inlineStr">
        <is>
          <t>7.500,00</t>
        </is>
      </c>
      <c r="F157" s="4" t="inlineStr">
        <is>
          <t>500.00</t>
        </is>
      </c>
    </row>
    <row collapsed="false" customFormat="false" customHeight="false" hidden="false" ht="12.1" outlineLevel="0" r="158">
      <c r="A158" s="5" t="s">
        <f>=HYPERLINK("https://www.leilaoonline.com.br/lote/detalhe/334097", "38102")</f>
      </c>
      <c r="B158" s="4" t="s">
        <f>=HYPERLINK("https://www.leilaoonline.com.br/lote/detalhe/334097", " TANQUE 3 E 4; TUBULAÇÃO E ACIONAMENTOS NÃO INCLUSOS - LOC. BOM RETIRO ")</f>
      </c>
      <c r="C158" s="4" t="inlineStr">
        <is>
          <t>Vendido</t>
        </is>
      </c>
      <c r="D158" s="4" t="inlineStr">
        <is>
          <t>43</t>
        </is>
      </c>
      <c r="E158" s="5" t="inlineStr">
        <is>
          <t>400.000,00</t>
        </is>
      </c>
      <c r="F158" s="4" t="inlineStr">
        <is>
          <t>10000.00</t>
        </is>
      </c>
    </row>
    <row collapsed="false" customFormat="false" customHeight="false" hidden="false" ht="12.1" outlineLevel="0" r="159">
      <c r="A159" s="5" t="s">
        <f>=HYPERLINK("https://www.leilaoonline.com.br/lote/detalhe/334096", "38103")</f>
      </c>
      <c r="B159" s="4" t="s">
        <f>=HYPERLINK("https://www.leilaoonline.com.br/lote/detalhe/334096", " 2 TORRES DE VINHAÇA; ACIONAMENTOS NÃO INCLUSOS - LOC. BOM RETIRO ")</f>
      </c>
      <c r="C159" s="4" t="inlineStr">
        <is>
          <t>Vendido</t>
        </is>
      </c>
      <c r="D159" s="4" t="inlineStr">
        <is>
          <t>12</t>
        </is>
      </c>
      <c r="E159" s="5" t="inlineStr">
        <is>
          <t>15.500,00</t>
        </is>
      </c>
      <c r="F159" s="4" t="inlineStr">
        <is>
          <t>500.00</t>
        </is>
      </c>
    </row>
    <row collapsed="false" customFormat="false" customHeight="false" hidden="false" ht="12.1" outlineLevel="0" r="160">
      <c r="A160" s="5" t="s">
        <f>=HYPERLINK("https://www.leilaoonline.com.br/lote/detalhe/334103", "38104")</f>
      </c>
      <c r="B160" s="4" t="s">
        <f>=HYPERLINK("https://www.leilaoonline.com.br/lote/detalhe/334103", " 2 TROCADOR DE CALOR/ ESTRUTURA, CURVAS E VALUVULAS, TUBULAÇÕES, CONDUÍTE, 2 BOMBAS, RECHEIO DE TORRE; PESO ESTIMADO PLÁSTICO 500KG, PESO ESTIMADO CARBONO 1,5 KG - LOC. BOM RETIRO ")</f>
      </c>
      <c r="C160" s="4" t="inlineStr">
        <is>
          <t>Não vendido</t>
        </is>
      </c>
      <c r="D160" s="4" t="inlineStr">
        <is>
          <t>11</t>
        </is>
      </c>
      <c r="E160" s="5" t="inlineStr">
        <is>
          <t>6.500,00</t>
        </is>
      </c>
      <c r="F160" s="4" t="inlineStr">
        <is>
          <t>500.00</t>
        </is>
      </c>
    </row>
    <row collapsed="false" customFormat="false" customHeight="false" hidden="false" ht="12.1" outlineLevel="0" r="161">
      <c r="A161" s="5" t="s">
        <f>=HYPERLINK("https://www.leilaoonline.com.br/lote/detalhe/334091", "38105")</f>
      </c>
      <c r="B161" s="4" t="s">
        <f>=HYPERLINK("https://www.leilaoonline.com.br/lote/detalhe/334091", " DIVERSOS MATERIAIS - 8 REDUTORES, 5 BOMBAS, APROX 30 MANCAIS, CESTO DE CENTRÍFUGA, ROLDANAS, APROX 30 ENGRENAGENS, VÁLVULAS, MOTOR DE INDUÇÃO, 10 VOLUTRAS, 5 PISTÕES, APROX 25 BOMBAS NETZSCH, 3 PRATELEIRAS; PESO ESTIMADO 10 TONELADAS - LOC. BOM RETIRO ")</f>
      </c>
      <c r="C161" s="4" t="inlineStr">
        <is>
          <t>Vendido</t>
        </is>
      </c>
      <c r="D161" s="4" t="inlineStr">
        <is>
          <t>34</t>
        </is>
      </c>
      <c r="E161" s="5" t="inlineStr">
        <is>
          <t>20.000,00</t>
        </is>
      </c>
      <c r="F161" s="4" t="inlineStr">
        <is>
          <t>1000.00</t>
        </is>
      </c>
    </row>
    <row collapsed="false" customFormat="false" customHeight="false" hidden="false" ht="12.1" outlineLevel="0" r="162">
      <c r="A162" s="5" t="s">
        <f>=HYPERLINK("https://www.leilaoonline.com.br/lote/detalhe/334094", "38106")</f>
      </c>
      <c r="B162" s="4" t="s">
        <f>=HYPERLINK("https://www.leilaoonline.com.br/lote/detalhe/334094", " TUBULAÇÕES DE INOX E DE FERRO, REDUTOR, COMPRESSOR, 3 CAIXAS D’ÁGUA, 6 VÁLVULAS, PRATELEIRAS INCLUSAS, GUARDA CORPO, LIXEIRAS, ROLO DE BORRACHA, 2 ENGRENAGENS - LOC. BOM RETIRO ")</f>
      </c>
      <c r="C162" s="4" t="inlineStr">
        <is>
          <t>Não vendido</t>
        </is>
      </c>
      <c r="D162" s="4" t="inlineStr">
        <is>
          <t>11</t>
        </is>
      </c>
      <c r="E162" s="5" t="inlineStr">
        <is>
          <t>6.500,00</t>
        </is>
      </c>
      <c r="F162" s="4" t="inlineStr">
        <is>
          <t>500.00</t>
        </is>
      </c>
    </row>
    <row collapsed="false" customFormat="false" customHeight="false" hidden="false" ht="12.1" outlineLevel="0" r="163">
      <c r="A163" s="5" t="s">
        <f>=HYPERLINK("https://www.leilaoonline.com.br/lote/detalhe/334100", "38107")</f>
      </c>
      <c r="B163" s="4" t="s">
        <f>=HYPERLINK("https://www.leilaoonline.com.br/lote/detalhe/334100", " 4 REDUTORES CESTARI - LOC. BOM RETIRO")</f>
      </c>
      <c r="C163" s="4" t="inlineStr">
        <is>
          <t>Não vendido</t>
        </is>
      </c>
      <c r="D163" s="4" t="inlineStr">
        <is>
          <t>7</t>
        </is>
      </c>
      <c r="E163" s="5" t="inlineStr">
        <is>
          <t>3.500,00</t>
        </is>
      </c>
      <c r="F163" s="4" t="inlineStr">
        <is>
          <t>250.00</t>
        </is>
      </c>
    </row>
    <row collapsed="false" customFormat="false" customHeight="false" hidden="false" ht="12.1" outlineLevel="0" r="164">
      <c r="A164" s="5" t="s">
        <f>=HYPERLINK("https://www.leilaoonline.com.br/lote/detalhe/334099", "38108")</f>
      </c>
      <c r="B164" s="4" t="s">
        <f>=HYPERLINK("https://www.leilaoonline.com.br/lote/detalhe/334099", " REDUTOR ; PT211552. - LOC. BOM RETIRO ")</f>
      </c>
      <c r="C164" s="4" t="inlineStr">
        <is>
          <t>Vendido</t>
        </is>
      </c>
      <c r="D164" s="4" t="inlineStr">
        <is>
          <t>8</t>
        </is>
      </c>
      <c r="E164" s="5" t="inlineStr">
        <is>
          <t>4.500,00</t>
        </is>
      </c>
      <c r="F164" s="4" t="inlineStr">
        <is>
          <t>500.00</t>
        </is>
      </c>
    </row>
    <row collapsed="false" customFormat="false" customHeight="false" hidden="false" ht="12.1" outlineLevel="0" r="165">
      <c r="A165" s="5" t="s">
        <f>=HYPERLINK("https://www.leilaoonline.com.br/lote/detalhe/334098", "38110")</f>
      </c>
      <c r="B165" s="4" t="s">
        <f>=HYPERLINK("https://www.leilaoonline.com.br/lote/detalhe/334098", " BOMBA MULTISTEEL, REDUTOR, TURBO BOMBA, EXAUSTOR/VENTILAFOR, 2 MONOVIAS, PRATELEIRA COM TUBOS, BASE AZUL; APROX 5 TONELADAS - LOC. BOM RETIRO")</f>
      </c>
      <c r="C165" s="4" t="inlineStr">
        <is>
          <t>Não vendido</t>
        </is>
      </c>
      <c r="D165" s="4" t="inlineStr">
        <is>
          <t>10</t>
        </is>
      </c>
      <c r="E165" s="5" t="inlineStr">
        <is>
          <t>6.000,00</t>
        </is>
      </c>
      <c r="F165" s="4" t="inlineStr">
        <is>
          <t>500.00</t>
        </is>
      </c>
    </row>
    <row collapsed="false" customFormat="false" customHeight="false" hidden="false" ht="12.1" outlineLevel="0" r="166">
      <c r="A166" s="5" t="s">
        <f>=HYPERLINK("https://www.leilaoonline.com.br/lote/detalhe/334095", "38111")</f>
      </c>
      <c r="B166" s="4" t="s">
        <f>=HYPERLINK("https://www.leilaoonline.com.br/lote/detalhe/334095", "2 MÁQUINAS DE SOLDA, CORRENTES, TALISCA, TELA DE FILTRO ROTATIVO, 6 VÁLVULAS, 5 CONDENS. DE AR COND., ESTUFA, 2 GELADEIRAS, FERRAMENTAS E PERIFÉRICOS INCLUSOS; PESO ESTIMADO 5 TON - LOC. BOM RETIRO")</f>
      </c>
      <c r="C166" s="4" t="inlineStr">
        <is>
          <t>Vendido</t>
        </is>
      </c>
      <c r="D166" s="4" t="inlineStr">
        <is>
          <t>19</t>
        </is>
      </c>
      <c r="E166" s="5" t="inlineStr">
        <is>
          <t>10.000,00</t>
        </is>
      </c>
      <c r="F166" s="4" t="inlineStr">
        <is>
          <t>500.00</t>
        </is>
      </c>
    </row>
    <row collapsed="false" customFormat="false" customHeight="false" hidden="false" ht="12.1" outlineLevel="0" r="167">
      <c r="A167" s="5" t="s">
        <f>=HYPERLINK("https://www.leilaoonline.com.br/lote/detalhe/334102", "38112")</f>
      </c>
      <c r="B167" s="4" t="s">
        <f>=HYPERLINK("https://www.leilaoonline.com.br/lote/detalhe/334102", " CORRENTES DE MOENDA, TUBOS DE INOX, VIGA I; APROX 10 TON - LOC. BOM RETIRO ")</f>
      </c>
      <c r="C167" s="4" t="inlineStr">
        <is>
          <t>Não vendido</t>
        </is>
      </c>
      <c r="D167" s="4" t="inlineStr">
        <is>
          <t>10</t>
        </is>
      </c>
      <c r="E167" s="5" t="inlineStr">
        <is>
          <t>7.000,00</t>
        </is>
      </c>
      <c r="F167" s="4" t="inlineStr">
        <is>
          <t>500.00</t>
        </is>
      </c>
    </row>
    <row collapsed="false" customFormat="false" customHeight="false" hidden="false" ht="12.1" outlineLevel="0" r="168">
      <c r="A168" s="5" t="s">
        <f>=HYPERLINK("https://www.leilaoonline.com.br/lote/detalhe/334105", "38113")</f>
      </c>
      <c r="B168" s="4" t="s">
        <f>=HYPERLINK("https://www.leilaoonline.com.br/lote/detalhe/334105", " MATERIAL ELETROELETRÔNICO (MOTOR BÚFALO 300 CV, VÁLVULA, 4 PAINÉIS, 2 BAGS COM FIOS PP DE COBRE, 2 PRATELEIRAS COM COMPONENTES ELÉTRICOS); PESO ESTIMADO 3 TON. - (DISJUNTOR DE MÉDIA NÃO INCLUSO) - LOC. BOM RETIRO ")</f>
      </c>
      <c r="C168" s="4" t="inlineStr">
        <is>
          <t>Não vendido</t>
        </is>
      </c>
      <c r="D168" s="4" t="inlineStr">
        <is>
          <t>45</t>
        </is>
      </c>
      <c r="E168" s="5" t="inlineStr">
        <is>
          <t>24.500,00</t>
        </is>
      </c>
      <c r="F168" s="4" t="inlineStr">
        <is>
          <t>500.00</t>
        </is>
      </c>
    </row>
    <row collapsed="false" customFormat="false" customHeight="false" hidden="false" ht="12.1" outlineLevel="0" r="169">
      <c r="A169" s="5" t="s">
        <f>=HYPERLINK("https://www.leilaoonline.com.br/lote/detalhe/334107", "38114")</f>
      </c>
      <c r="B169" s="4" t="s">
        <f>=HYPERLINK("https://www.leilaoonline.com.br/lote/detalhe/334107", " MOTOR WEG 300CV - LOC. BOM RETIRO ")</f>
      </c>
      <c r="C169" s="4" t="inlineStr">
        <is>
          <t>Vendido</t>
        </is>
      </c>
      <c r="D169" s="4" t="inlineStr">
        <is>
          <t>30</t>
        </is>
      </c>
      <c r="E169" s="5" t="inlineStr">
        <is>
          <t>29.500,00</t>
        </is>
      </c>
      <c r="F169" s="4" t="inlineStr">
        <is>
          <t>500.00</t>
        </is>
      </c>
    </row>
    <row collapsed="false" customFormat="false" customHeight="false" hidden="false" ht="12.1" outlineLevel="0" r="170">
      <c r="A170" s="5" t="s">
        <f>=HYPERLINK("https://www.leilaoonline.com.br/lote/detalhe/334104", "38115")</f>
      </c>
      <c r="B170" s="4" t="s">
        <f>=HYPERLINK("https://www.leilaoonline.com.br/lote/detalhe/334104", " MOTOR WEG 300 CV - LOC. BOM RETIRO ")</f>
      </c>
      <c r="C170" s="4" t="inlineStr">
        <is>
          <t>Vendido</t>
        </is>
      </c>
      <c r="D170" s="4" t="inlineStr">
        <is>
          <t>39</t>
        </is>
      </c>
      <c r="E170" s="5" t="inlineStr">
        <is>
          <t>34.000,00</t>
        </is>
      </c>
      <c r="F170" s="4" t="inlineStr">
        <is>
          <t>500.00</t>
        </is>
      </c>
    </row>
    <row collapsed="false" customFormat="false" customHeight="false" hidden="false" ht="12.1" outlineLevel="0" r="171">
      <c r="A171" s="5" t="s">
        <f>=HYPERLINK("https://www.leilaoonline.com.br/lote/detalhe/334109", "38116")</f>
      </c>
      <c r="B171" s="4" t="s">
        <f>=HYPERLINK("https://www.leilaoonline.com.br/lote/detalhe/334109", " 5 RODETES, PENTE DE MOENDA, 3 ROLOS DE BORRACHA, MANCAIS E PERIFÉRICOS; PESO ESTIMADO 6 TON. - LOC. BOM RETIRO ")</f>
      </c>
      <c r="C171" s="4" t="inlineStr">
        <is>
          <t>Vendido</t>
        </is>
      </c>
      <c r="D171" s="4" t="inlineStr">
        <is>
          <t>29</t>
        </is>
      </c>
      <c r="E171" s="5" t="inlineStr">
        <is>
          <t>18.500,00</t>
        </is>
      </c>
      <c r="F171" s="4" t="inlineStr">
        <is>
          <t>500.00</t>
        </is>
      </c>
    </row>
    <row collapsed="false" customFormat="false" customHeight="false" hidden="false" ht="12.1" outlineLevel="0" r="172">
      <c r="A172" s="5" t="s">
        <f>=HYPERLINK("https://www.leilaoonline.com.br/lote/detalhe/334106", "38117")</f>
      </c>
      <c r="B172" s="4" t="s">
        <f>=HYPERLINK("https://www.leilaoonline.com.br/lote/detalhe/334106", " BARRACÃO 125 X 25 M - LOC. BOM RETIRO ")</f>
      </c>
      <c r="C172" s="4" t="inlineStr">
        <is>
          <t>Não vendido</t>
        </is>
      </c>
      <c r="D172" s="4" t="inlineStr">
        <is>
          <t>191</t>
        </is>
      </c>
      <c r="E172" s="5" t="inlineStr">
        <is>
          <t>465.000,00</t>
        </is>
      </c>
      <c r="F172" s="4" t="inlineStr">
        <is>
          <t>5000.00</t>
        </is>
      </c>
    </row>
    <row collapsed="false" customFormat="false" customHeight="false" hidden="false" ht="12.1" outlineLevel="0" r="173">
      <c r="A173" s="5" t="s">
        <f>=HYPERLINK("https://www.leilaoonline.com.br/lote/detalhe/334111", "38118")</f>
      </c>
      <c r="B173" s="4" t="s">
        <f>=HYPERLINK("https://www.leilaoonline.com.br/lote/detalhe/334111", " 17 RODETES - LOC. BOM RETIRO")</f>
      </c>
      <c r="C173" s="4" t="inlineStr">
        <is>
          <t>Não vendido</t>
        </is>
      </c>
      <c r="D173" s="4" t="inlineStr">
        <is>
          <t>14</t>
        </is>
      </c>
      <c r="E173" s="5" t="inlineStr">
        <is>
          <t>11.500,00</t>
        </is>
      </c>
      <c r="F173" s="4" t="inlineStr">
        <is>
          <t>500.00</t>
        </is>
      </c>
    </row>
    <row collapsed="false" customFormat="false" customHeight="false" hidden="false" ht="12.1" outlineLevel="0" r="174">
      <c r="A174" s="5" t="s">
        <f>=HYPERLINK("https://www.leilaoonline.com.br/lote/detalhe/334110", "38119")</f>
      </c>
      <c r="B174" s="4" t="s">
        <f>=HYPERLINK("https://www.leilaoonline.com.br/lote/detalhe/334110", " ROTOR - LOC. DIAMANTE")</f>
      </c>
      <c r="C174" s="4" t="inlineStr">
        <is>
          <t>Vendido</t>
        </is>
      </c>
      <c r="D174" s="4" t="inlineStr">
        <is>
          <t>1</t>
        </is>
      </c>
      <c r="E174" s="5" t="inlineStr">
        <is>
          <t>2.000,00</t>
        </is>
      </c>
      <c r="F174" s="4" t="inlineStr">
        <is>
          <t>500.00</t>
        </is>
      </c>
    </row>
    <row collapsed="false" customFormat="false" customHeight="false" hidden="false" ht="12.1" outlineLevel="0" r="175">
      <c r="A175" s="5" t="s">
        <f>=HYPERLINK("https://www.leilaoonline.com.br/lote/detalhe/334116", "38120")</f>
      </c>
      <c r="B175" s="4" t="s">
        <f>=HYPERLINK("https://www.leilaoonline.com.br/lote/detalhe/334116", " CORPO/ BOMBA - LOC. DIAMANTE")</f>
      </c>
      <c r="C175" s="4" t="inlineStr">
        <is>
          <t>Vendido</t>
        </is>
      </c>
      <c r="D175" s="4" t="inlineStr">
        <is>
          <t>8</t>
        </is>
      </c>
      <c r="E175" s="5" t="inlineStr">
        <is>
          <t>5.000,00</t>
        </is>
      </c>
      <c r="F175" s="4" t="inlineStr">
        <is>
          <t>500.00</t>
        </is>
      </c>
    </row>
    <row collapsed="false" customFormat="false" customHeight="false" hidden="false" ht="12.1" outlineLevel="0" r="176">
      <c r="A176" s="5" t="s">
        <f>=HYPERLINK("https://www.leilaoonline.com.br/lote/detalhe/334113", "38121")</f>
      </c>
      <c r="B176" s="4" t="s">
        <f>=HYPERLINK("https://www.leilaoonline.com.br/lote/detalhe/334113", "COMPRESSOR E BETONEIRA  - LOC. DIAMANTE")</f>
      </c>
      <c r="C176" s="4" t="inlineStr">
        <is>
          <t>Vendido</t>
        </is>
      </c>
      <c r="D176" s="4" t="inlineStr">
        <is>
          <t>5</t>
        </is>
      </c>
      <c r="E176" s="5" t="inlineStr">
        <is>
          <t>3.500,00</t>
        </is>
      </c>
      <c r="F176" s="4" t="inlineStr">
        <is>
          <t>500.00</t>
        </is>
      </c>
    </row>
    <row collapsed="false" customFormat="false" customHeight="false" hidden="false" ht="12.1" outlineLevel="0" r="177">
      <c r="A177" s="5" t="s">
        <f>=HYPERLINK("https://www.leilaoonline.com.br/lote/detalhe/334115", "38122")</f>
      </c>
      <c r="B177" s="4" t="s">
        <f>=HYPERLINK("https://www.leilaoonline.com.br/lote/detalhe/334115", "TURBINA - LOC. DIAMANTE")</f>
      </c>
      <c r="C177" s="4" t="inlineStr">
        <is>
          <t>Vendido</t>
        </is>
      </c>
      <c r="D177" s="4" t="inlineStr">
        <is>
          <t>5</t>
        </is>
      </c>
      <c r="E177" s="5" t="inlineStr">
        <is>
          <t>3.500,00</t>
        </is>
      </c>
      <c r="F177" s="4" t="inlineStr">
        <is>
          <t>500.00</t>
        </is>
      </c>
    </row>
    <row collapsed="false" customFormat="false" customHeight="false" hidden="false" ht="12.1" outlineLevel="0" r="178">
      <c r="A178" s="5" t="s">
        <f>=HYPERLINK("https://www.leilaoonline.com.br/lote/detalhe/334114", "38123")</f>
      </c>
      <c r="B178" s="4" t="s">
        <f>=HYPERLINK("https://www.leilaoonline.com.br/lote/detalhe/334114", " EXAUSTOR - LOC. DIAMANTE")</f>
      </c>
      <c r="C178" s="4" t="inlineStr">
        <is>
          <t>Vendido</t>
        </is>
      </c>
      <c r="D178" s="4" t="inlineStr">
        <is>
          <t>1</t>
        </is>
      </c>
      <c r="E178" s="5" t="inlineStr">
        <is>
          <t>1.500,00</t>
        </is>
      </c>
      <c r="F178" s="4" t="inlineStr">
        <is>
          <t>500.00</t>
        </is>
      </c>
    </row>
    <row collapsed="false" customFormat="false" customHeight="false" hidden="false" ht="12.1" outlineLevel="0" r="179">
      <c r="A179" s="5" t="s">
        <f>=HYPERLINK("https://www.leilaoonline.com.br/lote/detalhe/334117", "38125")</f>
      </c>
      <c r="B179" s="4" t="s">
        <f>=HYPERLINK("https://www.leilaoonline.com.br/lote/detalhe/334117", " 2 PRENSAD. - LOC. DIAMANTE")</f>
      </c>
      <c r="C179" s="4" t="inlineStr">
        <is>
          <t>Vendido</t>
        </is>
      </c>
      <c r="D179" s="4" t="inlineStr">
        <is>
          <t>27</t>
        </is>
      </c>
      <c r="E179" s="5" t="inlineStr">
        <is>
          <t>15.000,00</t>
        </is>
      </c>
      <c r="F179" s="4" t="inlineStr">
        <is>
          <t>500.00</t>
        </is>
      </c>
    </row>
    <row collapsed="false" customFormat="false" customHeight="false" hidden="false" ht="12.1" outlineLevel="0" r="180">
      <c r="A180" s="5" t="s">
        <f>=HYPERLINK("https://www.leilaoonline.com.br/lote/detalhe/334121", "38126")</f>
      </c>
      <c r="B180" s="4" t="s">
        <f>=HYPERLINK("https://www.leilaoonline.com.br/lote/detalhe/334121", " 2 VÁLVULAS; MANCAL; E 6 FLANGES - LOC. DIAMANTE")</f>
      </c>
      <c r="C180" s="4" t="inlineStr">
        <is>
          <t>Não vendido</t>
        </is>
      </c>
      <c r="D180" s="4" t="inlineStr">
        <is>
          <t>1</t>
        </is>
      </c>
      <c r="E180" s="5" t="inlineStr">
        <is>
          <t>1.500,00</t>
        </is>
      </c>
      <c r="F180" s="4" t="inlineStr">
        <is>
          <t>500.00</t>
        </is>
      </c>
    </row>
    <row collapsed="false" customFormat="false" customHeight="false" hidden="false" ht="12.1" outlineLevel="0" r="181">
      <c r="A181" s="5" t="s">
        <f>=HYPERLINK("https://www.leilaoonline.com.br/lote/detalhe/334119", "38127")</f>
      </c>
      <c r="B181" s="4" t="s">
        <f>=HYPERLINK("https://www.leilaoonline.com.br/lote/detalhe/334119", " BALÃO/ RESERVATÓRIO E DUTO - LOC. DIAMANTE")</f>
      </c>
      <c r="C181" s="4" t="inlineStr">
        <is>
          <t>Vendido</t>
        </is>
      </c>
      <c r="D181" s="4" t="inlineStr">
        <is>
          <t>4</t>
        </is>
      </c>
      <c r="E181" s="5" t="inlineStr">
        <is>
          <t>3.000,00</t>
        </is>
      </c>
      <c r="F181" s="4" t="inlineStr">
        <is>
          <t>500.00</t>
        </is>
      </c>
    </row>
    <row collapsed="false" customFormat="false" customHeight="false" hidden="false" ht="12.1" outlineLevel="0" r="182">
      <c r="A182" s="5" t="s">
        <f>=HYPERLINK("https://www.leilaoonline.com.br/lote/detalhe/334123", "38128")</f>
      </c>
      <c r="B182" s="4" t="s">
        <f>=HYPERLINK("https://www.leilaoonline.com.br/lote/detalhe/334123", " APROX. 35 PLACAS DE TROCADOR DE CALOR - LOC. DIAMANTE")</f>
      </c>
      <c r="C182" s="4" t="inlineStr">
        <is>
          <t>Não vendido</t>
        </is>
      </c>
      <c r="D182" s="4" t="inlineStr">
        <is>
          <t>0</t>
        </is>
      </c>
      <c r="E182" s="5" t="inlineStr">
        <is>
          <t>2.000,00</t>
        </is>
      </c>
      <c r="F182" s="4" t="inlineStr">
        <is>
          <t>500.00</t>
        </is>
      </c>
    </row>
    <row collapsed="false" customFormat="false" customHeight="false" hidden="false" ht="12.1" outlineLevel="0" r="183">
      <c r="A183" s="5" t="s">
        <f>=HYPERLINK("https://www.leilaoonline.com.br/lote/detalhe/334120", "38129")</f>
      </c>
      <c r="B183" s="4" t="s">
        <f>=HYPERLINK("https://www.leilaoonline.com.br/lote/detalhe/334120", "APROX. 3 TON. DE INOX; (TUBOS DE AÇO CARBONO NÃO FAZ PARTE DO LOTE): (Diâmetro externo (Ø);38,10mm, Diâmetro interno (Ø);35,10mm; Comprimento dos tubos inox 3,02m) - LOC. DIAMANTE")</f>
      </c>
      <c r="C183" s="4" t="inlineStr">
        <is>
          <t>Vendido</t>
        </is>
      </c>
      <c r="D183" s="4" t="inlineStr">
        <is>
          <t>34</t>
        </is>
      </c>
      <c r="E183" s="5" t="inlineStr">
        <is>
          <t>19.500,00</t>
        </is>
      </c>
      <c r="F183" s="4" t="inlineStr">
        <is>
          <t>500.00</t>
        </is>
      </c>
    </row>
    <row collapsed="false" customFormat="false" customHeight="false" hidden="false" ht="12.1" outlineLevel="0" r="184">
      <c r="A184" s="5" t="s">
        <f>=HYPERLINK("https://www.leilaoonline.com.br/lote/detalhe/334122", "38130")</f>
      </c>
      <c r="B184" s="4" t="s">
        <f>=HYPERLINK("https://www.leilaoonline.com.br/lote/detalhe/334122", " 21 MANILHAS; 6 VIGOTAS E 3 GELADEIRAS - LOC. DIAMANTE")</f>
      </c>
      <c r="C184" s="4" t="inlineStr">
        <is>
          <t>Vendido</t>
        </is>
      </c>
      <c r="D184" s="4" t="inlineStr">
        <is>
          <t>4</t>
        </is>
      </c>
      <c r="E184" s="5" t="inlineStr">
        <is>
          <t>3.000,00</t>
        </is>
      </c>
      <c r="F184" s="4" t="inlineStr">
        <is>
          <t>500.00</t>
        </is>
      </c>
    </row>
    <row collapsed="false" customFormat="false" customHeight="false" hidden="false" ht="12.1" outlineLevel="0" r="185">
      <c r="A185" s="5" t="s">
        <f>=HYPERLINK("https://www.leilaoonline.com.br/lote/detalhe/334124", "38131")</f>
      </c>
      <c r="B185" s="4" t="s">
        <f>=HYPERLINK("https://www.leilaoonline.com.br/lote/detalhe/334124", "BARRACÃO APROX. 30X12 - LOC. DIAMANTE")</f>
      </c>
      <c r="C185" s="4" t="inlineStr">
        <is>
          <t>Não vendido</t>
        </is>
      </c>
      <c r="D185" s="4" t="inlineStr">
        <is>
          <t>4</t>
        </is>
      </c>
      <c r="E185" s="5" t="inlineStr">
        <is>
          <t>11.500,00</t>
        </is>
      </c>
      <c r="F185" s="4" t="inlineStr">
        <is>
          <t>500.00</t>
        </is>
      </c>
    </row>
    <row collapsed="false" customFormat="false" customHeight="false" hidden="false" ht="12.1" outlineLevel="0" r="186">
      <c r="A186" s="5" t="s">
        <f>=HYPERLINK("https://www.leilaoonline.com.br/lote/detalhe/334125", "38132")</f>
      </c>
      <c r="B186" s="4" t="s">
        <f>=HYPERLINK("https://www.leilaoonline.com.br/lote/detalhe/334125", " TRATOR JOHN DEERE 7225J; ANO 2016. - FR115684 - LOC. SANTA CÂNDIDA ")</f>
      </c>
      <c r="C186" s="4" t="inlineStr">
        <is>
          <t>Vendido</t>
        </is>
      </c>
      <c r="D186" s="4" t="inlineStr">
        <is>
          <t>1</t>
        </is>
      </c>
      <c r="E186" s="5" t="inlineStr">
        <is>
          <t>50.000,00</t>
        </is>
      </c>
      <c r="F186" s="4" t="inlineStr">
        <is>
          <t>2000.00</t>
        </is>
      </c>
    </row>
    <row collapsed="false" customFormat="false" customHeight="false" hidden="false" ht="12.1" outlineLevel="0" r="187">
      <c r="A187" s="5" t="s">
        <f>=HYPERLINK("https://www.leilaoonline.com.br/lote/detalhe/334126", "38133")</f>
      </c>
      <c r="B187" s="4" t="s">
        <f>=HYPERLINK("https://www.leilaoonline.com.br/lote/detalhe/334126", "2 PRATELEIRAS, 1 ARMÁRIO, 1 CARRINHO COM CONTAINER, CAIXA DE ÓLEO, PEÇAS/ENGRENAGENS , PECAS DE MOTOR DESMONTADO, 9 TANQUES, PRATELEIRA DE ALUMÍNIO, 1 PALETEIRA, 5 PORTAS DE VIDRO -  LOC. SANTA CÂNDIDA ")</f>
      </c>
      <c r="C187" s="4" t="inlineStr">
        <is>
          <t>Vendido</t>
        </is>
      </c>
      <c r="D187" s="4" t="inlineStr">
        <is>
          <t>11</t>
        </is>
      </c>
      <c r="E187" s="5" t="inlineStr">
        <is>
          <t>6.000,00</t>
        </is>
      </c>
      <c r="F187" s="4" t="inlineStr">
        <is>
          <t>500.00</t>
        </is>
      </c>
    </row>
    <row collapsed="false" customFormat="false" customHeight="false" hidden="false" ht="12.1" outlineLevel="0" r="188">
      <c r="A188" s="5" t="s">
        <f>=HYPERLINK("https://www.leilaoonline.com.br/lote/detalhe/334129", "38134")</f>
      </c>
      <c r="B188" s="4" t="s">
        <f>=HYPERLINK("https://www.leilaoonline.com.br/lote/detalhe/334129", "TRATOR CASE 260; ANO 2017. -  FR20365 - LOC. PARAISO")</f>
      </c>
      <c r="C188" s="4" t="inlineStr">
        <is>
          <t>Não vendido</t>
        </is>
      </c>
      <c r="D188" s="4" t="inlineStr">
        <is>
          <t>10</t>
        </is>
      </c>
      <c r="E188" s="5" t="inlineStr">
        <is>
          <t>72.000,00</t>
        </is>
      </c>
      <c r="F188" s="4" t="inlineStr">
        <is>
          <t>2500.00</t>
        </is>
      </c>
    </row>
    <row collapsed="false" customFormat="false" customHeight="false" hidden="false" ht="12.1" outlineLevel="0" r="189">
      <c r="A189" s="5" t="s">
        <f>=HYPERLINK("https://www.leilaoonline.com.br/lote/detalhe/334128", "38135")</f>
      </c>
      <c r="B189" s="4" t="s">
        <f>=HYPERLINK("https://www.leilaoonline.com.br/lote/detalhe/334128", " PEÇAS DE COLHEDORA; PESO ESTIMADO 25 TON. - LOC. PARAISO")</f>
      </c>
      <c r="C189" s="4" t="inlineStr">
        <is>
          <t>Não vendido</t>
        </is>
      </c>
      <c r="D189" s="4" t="inlineStr">
        <is>
          <t>48</t>
        </is>
      </c>
      <c r="E189" s="5" t="inlineStr">
        <is>
          <t>25.000,00</t>
        </is>
      </c>
      <c r="F189" s="4" t="inlineStr">
        <is>
          <t>500.00</t>
        </is>
      </c>
    </row>
    <row collapsed="false" customFormat="false" customHeight="false" hidden="false" ht="12.1" outlineLevel="0" r="190">
      <c r="A190" s="5" t="s">
        <f>=HYPERLINK("https://www.leilaoonline.com.br/lote/detalhe/334133", "38136")</f>
      </c>
      <c r="B190" s="4" t="s">
        <f>=HYPERLINK("https://www.leilaoonline.com.br/lote/detalhe/334133", " TRATOR VALTRA BH210; ANO 2014. - FR106673 - LOC. BARRA ")</f>
      </c>
      <c r="C190" s="4" t="inlineStr">
        <is>
          <t>Vendido</t>
        </is>
      </c>
      <c r="D190" s="4" t="inlineStr">
        <is>
          <t>62</t>
        </is>
      </c>
      <c r="E190" s="5" t="inlineStr">
        <is>
          <t>111.000,00</t>
        </is>
      </c>
      <c r="F190" s="4" t="inlineStr">
        <is>
          <t>1000.00</t>
        </is>
      </c>
    </row>
    <row collapsed="false" customFormat="false" customHeight="false" hidden="false" ht="12.1" outlineLevel="0" r="191">
      <c r="A191" s="5" t="s">
        <f>=HYPERLINK("https://www.leilaoonline.com.br/lote/detalhe/334127", "38137")</f>
      </c>
      <c r="B191" s="4" t="s">
        <f>=HYPERLINK("https://www.leilaoonline.com.br/lote/detalhe/334127", " ÁREA DE VIVÊNCIA (REBOQUE SERNAUTO 001 - ANO 2014/2014 - AZUL); FR103330 - LOC. BARRA ")</f>
      </c>
      <c r="C191" s="4" t="inlineStr">
        <is>
          <t>Vendido</t>
        </is>
      </c>
      <c r="D191" s="4" t="inlineStr">
        <is>
          <t>3</t>
        </is>
      </c>
      <c r="E191" s="5" t="inlineStr">
        <is>
          <t>5.000,00</t>
        </is>
      </c>
      <c r="F191" s="4" t="inlineStr">
        <is>
          <t>500.00</t>
        </is>
      </c>
    </row>
    <row collapsed="false" customFormat="false" customHeight="false" hidden="false" ht="12.1" outlineLevel="0" r="192">
      <c r="A192" s="5" t="s">
        <f>=HYPERLINK("https://www.leilaoonline.com.br/lote/detalhe/334515", "38138")</f>
      </c>
      <c r="B192" s="4" t="s">
        <f>=HYPERLINK("https://www.leilaoonline.com.br/lote/detalhe/334515", "TRATOR VALTRA BH210; ANO 2014. - FR100721 - LOC. BARRA ")</f>
      </c>
      <c r="C192" s="4" t="inlineStr">
        <is>
          <t>Não vendido</t>
        </is>
      </c>
      <c r="D192" s="4" t="inlineStr">
        <is>
          <t>23</t>
        </is>
      </c>
      <c r="E192" s="5" t="inlineStr">
        <is>
          <t>92.000,00</t>
        </is>
      </c>
      <c r="F192" s="4" t="inlineStr">
        <is>
          <t>1000.00</t>
        </is>
      </c>
    </row>
    <row collapsed="false" customFormat="false" customHeight="false" hidden="false" ht="12.1" outlineLevel="0" r="193">
      <c r="A193" s="5" t="s">
        <f>=HYPERLINK("https://www.leilaoonline.com.br/lote/detalhe/334131", "38139")</f>
      </c>
      <c r="B193" s="4" t="s">
        <f>=HYPERLINK("https://www.leilaoonline.com.br/lote/detalhe/334131", " TRATOR VALTRA BH 210; ANO 2014. - FR106656 - LOC. BARRA ")</f>
      </c>
      <c r="C193" s="4" t="inlineStr">
        <is>
          <t>Não vendido</t>
        </is>
      </c>
      <c r="D193" s="4" t="inlineStr">
        <is>
          <t>35</t>
        </is>
      </c>
      <c r="E193" s="5" t="inlineStr">
        <is>
          <t>96.000,00</t>
        </is>
      </c>
      <c r="F193" s="4" t="inlineStr">
        <is>
          <t>1000.00</t>
        </is>
      </c>
    </row>
    <row collapsed="false" customFormat="false" customHeight="false" hidden="false" ht="12.1" outlineLevel="0" r="194">
      <c r="A194" s="5" t="s">
        <f>=HYPERLINK("https://www.leilaoonline.com.br/lote/detalhe/334134", "38140")</f>
      </c>
      <c r="B194" s="4" t="s">
        <f>=HYPERLINK("https://www.leilaoonline.com.br/lote/detalhe/334134", " TRATOR VALTRA BT 210; ANO 2014. - FR100739 - LOC. BARRA ")</f>
      </c>
      <c r="C194" s="4" t="inlineStr">
        <is>
          <t>Não vendido</t>
        </is>
      </c>
      <c r="D194" s="4" t="inlineStr">
        <is>
          <t>24</t>
        </is>
      </c>
      <c r="E194" s="5" t="inlineStr">
        <is>
          <t>83.000,00</t>
        </is>
      </c>
      <c r="F194" s="4" t="inlineStr">
        <is>
          <t>1000.00</t>
        </is>
      </c>
    </row>
    <row collapsed="false" customFormat="false" customHeight="false" hidden="false" ht="12.1" outlineLevel="0" r="195">
      <c r="A195" s="5" t="s">
        <f>=HYPERLINK("https://www.leilaoonline.com.br/lote/detalhe/334130", "38141")</f>
      </c>
      <c r="B195" s="4" t="s">
        <f>=HYPERLINK("https://www.leilaoonline.com.br/lote/detalhe/334130", " APROX. 25 CARCAÇA DE DIFERENCIAL CASE; PESO APROX. 2 TON. - LOC. BARRA ")</f>
      </c>
      <c r="C195" s="4" t="inlineStr">
        <is>
          <t>Não vendido</t>
        </is>
      </c>
      <c r="D195" s="4" t="inlineStr">
        <is>
          <t>7</t>
        </is>
      </c>
      <c r="E195" s="5" t="inlineStr">
        <is>
          <t>4.500,00</t>
        </is>
      </c>
      <c r="F195" s="4" t="inlineStr">
        <is>
          <t>500.00</t>
        </is>
      </c>
    </row>
    <row collapsed="false" customFormat="false" customHeight="false" hidden="false" ht="12.1" outlineLevel="0" r="196">
      <c r="A196" s="5" t="s">
        <f>=HYPERLINK("https://www.leilaoonline.com.br/lote/detalhe/334136", "38142")</f>
      </c>
      <c r="B196" s="4" t="s">
        <f>=HYPERLINK("https://www.leilaoonline.com.br/lote/detalhe/334136", " EQUIPAMENTO HIDRÁULICO TIPO PRENSA; E 2 ESTRUTURAS DE ESTEIRA - LOC. BARRA ")</f>
      </c>
      <c r="C196" s="4" t="inlineStr">
        <is>
          <t>Não vendido</t>
        </is>
      </c>
      <c r="D196" s="4" t="inlineStr">
        <is>
          <t>24</t>
        </is>
      </c>
      <c r="E196" s="5" t="inlineStr">
        <is>
          <t>13.000,00</t>
        </is>
      </c>
      <c r="F196" s="4" t="inlineStr">
        <is>
          <t>500.00</t>
        </is>
      </c>
    </row>
    <row collapsed="false" customFormat="false" customHeight="false" hidden="false" ht="12.1" outlineLevel="0" r="197">
      <c r="A197" s="5" t="s">
        <f>=HYPERLINK("https://www.leilaoonline.com.br/lote/detalhe/334132", "38143")</f>
      </c>
      <c r="B197" s="4" t="s">
        <f>=HYPERLINK("https://www.leilaoonline.com.br/lote/detalhe/334132", " 5 COM PEÇAS DE EQUIPAMENTOS AGRÍCOLAS: 1 FURADEIRA; 1 PNEU; E 3 CAIXAS AZUIS, PGM - LOC. BARRA ")</f>
      </c>
      <c r="C197" s="4" t="inlineStr">
        <is>
          <t>Vendido</t>
        </is>
      </c>
      <c r="D197" s="4" t="inlineStr">
        <is>
          <t>11</t>
        </is>
      </c>
      <c r="E197" s="5" t="inlineStr">
        <is>
          <t>6.000,00</t>
        </is>
      </c>
      <c r="F197" s="4" t="inlineStr">
        <is>
          <t>500.00</t>
        </is>
      </c>
    </row>
    <row collapsed="false" customFormat="false" customHeight="false" hidden="false" ht="12.1" outlineLevel="0" r="198">
      <c r="A198" s="5" t="s">
        <f>=HYPERLINK("https://www.leilaoonline.com.br/lote/detalhe/334139", "38144")</f>
      </c>
      <c r="B198" s="4" t="s">
        <f>=HYPERLINK("https://www.leilaoonline.com.br/lote/detalhe/334139", " TORNO COM MOTOR - LOC. BARRA ")</f>
      </c>
      <c r="C198" s="4" t="inlineStr">
        <is>
          <t>Vendido</t>
        </is>
      </c>
      <c r="D198" s="4" t="inlineStr">
        <is>
          <t>60</t>
        </is>
      </c>
      <c r="E198" s="5" t="inlineStr">
        <is>
          <t>32.000,00</t>
        </is>
      </c>
      <c r="F198" s="4" t="inlineStr">
        <is>
          <t>1000.00</t>
        </is>
      </c>
    </row>
    <row collapsed="false" customFormat="false" customHeight="false" hidden="false" ht="12.1" outlineLevel="0" r="199">
      <c r="A199" s="5" t="s">
        <f>=HYPERLINK("https://www.leilaoonline.com.br/lote/detalhe/334135", "38145")</f>
      </c>
      <c r="B199" s="4" t="s">
        <f>=HYPERLINK("https://www.leilaoonline.com.br/lote/detalhe/334135", " FRESA COM MOTOR - LOC. BARRA ")</f>
      </c>
      <c r="C199" s="4" t="inlineStr">
        <is>
          <t>Vendido</t>
        </is>
      </c>
      <c r="D199" s="4" t="inlineStr">
        <is>
          <t>14</t>
        </is>
      </c>
      <c r="E199" s="5" t="inlineStr">
        <is>
          <t>8.000,00</t>
        </is>
      </c>
      <c r="F199" s="4" t="inlineStr">
        <is>
          <t>500.00</t>
        </is>
      </c>
    </row>
    <row collapsed="false" customFormat="false" customHeight="false" hidden="false" ht="12.1" outlineLevel="0" r="200">
      <c r="A200" s="5" t="s">
        <f>=HYPERLINK("https://www.leilaoonline.com.br/lote/detalhe/334138", "38146")</f>
      </c>
      <c r="B200" s="4" t="s">
        <f>=HYPERLINK("https://www.leilaoonline.com.br/lote/detalhe/334138", "PRANCHA SEMI REBOQUE/RODOLINEA SRPR; ANO 2011/2011; AZUL. - FR164380; (VENDA SOMENTE PARA COMPRADORES DO ESTADO DE SP, REMARCAÇÃO SERÁ POR CONTA DO COMPRADOR) - LOC. BARRA ")</f>
      </c>
      <c r="C200" s="4" t="inlineStr">
        <is>
          <t>Não vendido</t>
        </is>
      </c>
      <c r="D200" s="4" t="inlineStr">
        <is>
          <t>80</t>
        </is>
      </c>
      <c r="E200" s="5" t="inlineStr">
        <is>
          <t>100.000,00</t>
        </is>
      </c>
      <c r="F200" s="4" t="inlineStr">
        <is>
          <t>1000.00</t>
        </is>
      </c>
    </row>
    <row collapsed="false" customFormat="false" customHeight="false" hidden="false" ht="12.1" outlineLevel="0" r="201">
      <c r="A201" s="5" t="s">
        <f>=HYPERLINK("https://www.leilaoonline.com.br/lote/detalhe/334259", "38147")</f>
      </c>
      <c r="B201" s="4" t="s">
        <f>=HYPERLINK("https://www.leilaoonline.com.br/lote/detalhe/334259", " TRANSBORDO ATA 12000 12T; ANO 2015. - FR84602 - LOC. UNIVALEM")</f>
      </c>
      <c r="C201" s="4" t="inlineStr">
        <is>
          <t>Vendido</t>
        </is>
      </c>
      <c r="D201" s="4" t="inlineStr">
        <is>
          <t>5</t>
        </is>
      </c>
      <c r="E201" s="5" t="inlineStr">
        <is>
          <t>14.000,00</t>
        </is>
      </c>
      <c r="F201" s="4" t="inlineStr">
        <is>
          <t>1000.00</t>
        </is>
      </c>
    </row>
    <row collapsed="false" customFormat="false" customHeight="false" hidden="false" ht="12.1" outlineLevel="0" r="202">
      <c r="A202" s="5" t="s">
        <f>=HYPERLINK("https://www.leilaoonline.com.br/lote/detalhe/334256", "38148")</f>
      </c>
      <c r="B202" s="4" t="s">
        <f>=HYPERLINK("https://www.leilaoonline.com.br/lote/detalhe/334256", " TRANSBORDO ATA 12000 12T; ANO 2015. - FR47061 - LOC. UNIVALEM")</f>
      </c>
      <c r="C202" s="4" t="inlineStr">
        <is>
          <t>Vendido</t>
        </is>
      </c>
      <c r="D202" s="4" t="inlineStr">
        <is>
          <t>12</t>
        </is>
      </c>
      <c r="E202" s="5" t="inlineStr">
        <is>
          <t>21.000,00</t>
        </is>
      </c>
      <c r="F202" s="4" t="inlineStr">
        <is>
          <t>1000.00</t>
        </is>
      </c>
    </row>
    <row collapsed="false" customFormat="false" customHeight="false" hidden="false" ht="12.1" outlineLevel="0" r="203">
      <c r="A203" s="5" t="s">
        <f>=HYPERLINK("https://www.leilaoonline.com.br/lote/detalhe/334258", "38149")</f>
      </c>
      <c r="B203" s="4" t="s">
        <f>=HYPERLINK("https://www.leilaoonline.com.br/lote/detalhe/334258", " TRANSBORDO ATA 12000 12T; ANO 2015. -  FR112629 - LOC. UNIVALEM")</f>
      </c>
      <c r="C203" s="4" t="inlineStr">
        <is>
          <t>Vendido</t>
        </is>
      </c>
      <c r="D203" s="4" t="inlineStr">
        <is>
          <t>12</t>
        </is>
      </c>
      <c r="E203" s="5" t="inlineStr">
        <is>
          <t>21.000,00</t>
        </is>
      </c>
      <c r="F203" s="4" t="inlineStr">
        <is>
          <t>1000.00</t>
        </is>
      </c>
    </row>
    <row collapsed="false" customFormat="false" customHeight="false" hidden="false" ht="12.1" outlineLevel="0" r="204">
      <c r="A204" s="5" t="s">
        <f>=HYPERLINK("https://www.leilaoonline.com.br/lote/detalhe/334263", "38150")</f>
      </c>
      <c r="B204" s="4" t="s">
        <f>=HYPERLINK("https://www.leilaoonline.com.br/lote/detalhe/334263", " 15 RÁDIOS MOTOROLA EP450S - LOC. UNIVALEM")</f>
      </c>
      <c r="C204" s="4" t="inlineStr">
        <is>
          <t>Vendido</t>
        </is>
      </c>
      <c r="D204" s="4" t="inlineStr">
        <is>
          <t>11</t>
        </is>
      </c>
      <c r="E204" s="5" t="inlineStr">
        <is>
          <t>1.450,00</t>
        </is>
      </c>
      <c r="F204" s="4" t="inlineStr">
        <is>
          <t>150.00</t>
        </is>
      </c>
    </row>
    <row collapsed="false" customFormat="false" customHeight="false" hidden="false" ht="12.1" outlineLevel="0" r="205">
      <c r="A205" s="5" t="s">
        <f>=HYPERLINK("https://www.leilaoonline.com.br/lote/detalhe/334260", "38151")</f>
      </c>
      <c r="B205" s="4" t="s">
        <f>=HYPERLINK("https://www.leilaoonline.com.br/lote/detalhe/334260", " 01 EXAUSTOR - LOC. UNIVALEM")</f>
      </c>
      <c r="C205" s="4" t="inlineStr">
        <is>
          <t>Vendido</t>
        </is>
      </c>
      <c r="D205" s="4" t="inlineStr">
        <is>
          <t>3</t>
        </is>
      </c>
      <c r="E205" s="5" t="inlineStr">
        <is>
          <t>2.500,00</t>
        </is>
      </c>
      <c r="F205" s="4" t="inlineStr">
        <is>
          <t>500.00</t>
        </is>
      </c>
    </row>
    <row collapsed="false" customFormat="false" customHeight="false" hidden="false" ht="12.1" outlineLevel="0" r="206">
      <c r="A206" s="5" t="s">
        <f>=HYPERLINK("https://www.leilaoonline.com.br/lote/detalhe/334262", "38152")</f>
      </c>
      <c r="B206" s="4" t="s">
        <f>=HYPERLINK("https://www.leilaoonline.com.br/lote/detalhe/334262", " 03 AR-CONDICIONADO - LOC. UNIVALEM")</f>
      </c>
      <c r="C206" s="4" t="inlineStr">
        <is>
          <t>Vendido</t>
        </is>
      </c>
      <c r="D206" s="4" t="inlineStr">
        <is>
          <t>2</t>
        </is>
      </c>
      <c r="E206" s="5" t="inlineStr">
        <is>
          <t>1.500,00</t>
        </is>
      </c>
      <c r="F206" s="4" t="inlineStr">
        <is>
          <t>500.00</t>
        </is>
      </c>
    </row>
    <row collapsed="false" customFormat="false" customHeight="false" hidden="false" ht="12.1" outlineLevel="0" r="207">
      <c r="A207" s="5" t="s">
        <f>=HYPERLINK("https://www.leilaoonline.com.br/lote/detalhe/334254", "38153")</f>
      </c>
      <c r="B207" s="4" t="s">
        <f>=HYPERLINK("https://www.leilaoonline.com.br/lote/detalhe/334254", "10 PRATELEIRAS DE EQUIPAMENTOS DIVERSOS - VEJA DESCRITIVO DE ITENS  - LOC. UNIVALEM")</f>
      </c>
      <c r="C207" s="4" t="inlineStr">
        <is>
          <t>Vendido</t>
        </is>
      </c>
      <c r="D207" s="4" t="inlineStr">
        <is>
          <t>11</t>
        </is>
      </c>
      <c r="E207" s="5" t="inlineStr">
        <is>
          <t>6.500,00</t>
        </is>
      </c>
      <c r="F207" s="4" t="inlineStr">
        <is>
          <t>500.00</t>
        </is>
      </c>
    </row>
    <row collapsed="false" customFormat="false" customHeight="false" hidden="false" ht="12.1" outlineLevel="0" r="208">
      <c r="A208" s="5" t="s">
        <f>=HYPERLINK("https://www.leilaoonline.com.br/lote/detalhe/334261", "38154")</f>
      </c>
      <c r="B208" s="4" t="s">
        <f>=HYPERLINK("https://www.leilaoonline.com.br/lote/detalhe/334261", " TRANSFORMADOR TRIFÁSICO (112.5 KVA) - LOC. UNIVALEM")</f>
      </c>
      <c r="C208" s="4" t="inlineStr">
        <is>
          <t>Não vendido</t>
        </is>
      </c>
      <c r="D208" s="4" t="inlineStr">
        <is>
          <t>3</t>
        </is>
      </c>
      <c r="E208" s="5" t="inlineStr">
        <is>
          <t>4.000,00</t>
        </is>
      </c>
      <c r="F208" s="4" t="inlineStr">
        <is>
          <t>500.00</t>
        </is>
      </c>
    </row>
    <row collapsed="false" customFormat="false" customHeight="false" hidden="false" ht="12.1" outlineLevel="0" r="209">
      <c r="A209" s="5" t="s">
        <f>=HYPERLINK("https://www.leilaoonline.com.br/lote/detalhe/334265", "38155")</f>
      </c>
      <c r="B209" s="4" t="s">
        <f>=HYPERLINK("https://www.leilaoonline.com.br/lote/detalhe/334265", " 01 TRANSFORMADOR TRIFÁSICO - LOC. UNIVALEM")</f>
      </c>
      <c r="C209" s="4" t="inlineStr">
        <is>
          <t>Não vendido</t>
        </is>
      </c>
      <c r="D209" s="4" t="inlineStr">
        <is>
          <t>3</t>
        </is>
      </c>
      <c r="E209" s="5" t="inlineStr">
        <is>
          <t>4.000,00</t>
        </is>
      </c>
      <c r="F209" s="4" t="inlineStr">
        <is>
          <t>500.00</t>
        </is>
      </c>
    </row>
    <row collapsed="false" customFormat="false" customHeight="false" hidden="false" ht="12.1" outlineLevel="0" r="210">
      <c r="A210" s="5" t="s">
        <f>=HYPERLINK("https://www.leilaoonline.com.br/lote/detalhe/334277", "38156")</f>
      </c>
      <c r="B210" s="4" t="s">
        <f>=HYPERLINK("https://www.leilaoonline.com.br/lote/detalhe/334277", "DESUMIDIFICADOR INDUSTRIAL (HCD 600 EA PLUS) MUNTERS - LOC. UNIVALEM")</f>
      </c>
      <c r="C210" s="4" t="inlineStr">
        <is>
          <t>Não vendido</t>
        </is>
      </c>
      <c r="D210" s="4" t="inlineStr">
        <is>
          <t>0</t>
        </is>
      </c>
      <c r="E210" s="5" t="inlineStr">
        <is>
          <t>1.500,00</t>
        </is>
      </c>
      <c r="F210" s="4" t="inlineStr">
        <is>
          <t>500.00</t>
        </is>
      </c>
    </row>
    <row collapsed="false" customFormat="false" customHeight="false" hidden="false" ht="12.1" outlineLevel="0" r="211">
      <c r="A211" s="5" t="s">
        <f>=HYPERLINK("https://www.leilaoonline.com.br/lote/detalhe/334267", "38157")</f>
      </c>
      <c r="B211" s="4" t="s">
        <f>=HYPERLINK("https://www.leilaoonline.com.br/lote/detalhe/334267", " UNIDADE DE COLETA E RESFRIAMENTO DE FLUÍDOS - LOC. UNIVALEM")</f>
      </c>
      <c r="C211" s="4" t="inlineStr">
        <is>
          <t>Não vendido</t>
        </is>
      </c>
      <c r="D211" s="4" t="inlineStr">
        <is>
          <t>0</t>
        </is>
      </c>
      <c r="E211" s="5" t="inlineStr">
        <is>
          <t>1.000,00</t>
        </is>
      </c>
      <c r="F211" s="4" t="inlineStr">
        <is>
          <t>500.00</t>
        </is>
      </c>
    </row>
    <row collapsed="false" customFormat="false" customHeight="false" hidden="false" ht="12.1" outlineLevel="0" r="212">
      <c r="A212" s="5" t="s">
        <f>=HYPERLINK("https://www.leilaoonline.com.br/lote/detalhe/334257", "38158")</f>
      </c>
      <c r="B212" s="4" t="s">
        <f>=HYPERLINK("https://www.leilaoonline.com.br/lote/detalhe/334257", " PEÇAS REPOSIÇÃO EQUIPAMENTOS AGRÍCOLAS - LOC. UNIVALEM")</f>
      </c>
      <c r="C212" s="4" t="inlineStr">
        <is>
          <t>Vendido</t>
        </is>
      </c>
      <c r="D212" s="4" t="inlineStr">
        <is>
          <t>1</t>
        </is>
      </c>
      <c r="E212" s="5" t="inlineStr">
        <is>
          <t>1.500,00</t>
        </is>
      </c>
      <c r="F212" s="4" t="inlineStr">
        <is>
          <t>500.00</t>
        </is>
      </c>
    </row>
    <row collapsed="false" customFormat="false" customHeight="false" hidden="false" ht="12.1" outlineLevel="0" r="213">
      <c r="A213" s="5" t="s">
        <f>=HYPERLINK("https://www.leilaoonline.com.br/lote/detalhe/334268", "38159")</f>
      </c>
      <c r="B213" s="4" t="s">
        <f>=HYPERLINK("https://www.leilaoonline.com.br/lote/detalhe/334268", " PICADOR DE PALHA - LOC. UNIVALEM")</f>
      </c>
      <c r="C213" s="4" t="inlineStr">
        <is>
          <t>Não vendido</t>
        </is>
      </c>
      <c r="D213" s="4" t="inlineStr">
        <is>
          <t>1</t>
        </is>
      </c>
      <c r="E213" s="5" t="inlineStr">
        <is>
          <t>1.500,00</t>
        </is>
      </c>
      <c r="F213" s="4" t="inlineStr">
        <is>
          <t>500.00</t>
        </is>
      </c>
    </row>
    <row collapsed="false" customFormat="false" customHeight="false" hidden="false" ht="12.1" outlineLevel="0" r="214">
      <c r="A214" s="5" t="s">
        <f>=HYPERLINK("https://www.leilaoonline.com.br/lote/detalhe/334269", "38160")</f>
      </c>
      <c r="B214" s="4" t="s">
        <f>=HYPERLINK("https://www.leilaoonline.com.br/lote/detalhe/334269", " TROCADOR DE CALOR MA 30 - SFM ALFA LAVAL - LOC. UNIVALEM")</f>
      </c>
      <c r="C214" s="4" t="inlineStr">
        <is>
          <t>Não vendido</t>
        </is>
      </c>
      <c r="D214" s="4" t="inlineStr">
        <is>
          <t>5</t>
        </is>
      </c>
      <c r="E214" s="5" t="inlineStr">
        <is>
          <t>7.000,00</t>
        </is>
      </c>
      <c r="F214" s="4" t="inlineStr">
        <is>
          <t>500.00</t>
        </is>
      </c>
    </row>
    <row collapsed="false" customFormat="false" customHeight="false" hidden="false" ht="12.1" outlineLevel="0" r="215">
      <c r="A215" s="5" t="s">
        <f>=HYPERLINK("https://www.leilaoonline.com.br/lote/detalhe/334255", "38161")</f>
      </c>
      <c r="B215" s="4" t="s">
        <f>=HYPERLINK("https://www.leilaoonline.com.br/lote/detalhe/334255", " HIDRATADOR DE CAL. - N/E. - LOC. UNIVALEM")</f>
      </c>
      <c r="C215" s="4" t="inlineStr">
        <is>
          <t>Não vendido</t>
        </is>
      </c>
      <c r="D215" s="4" t="inlineStr">
        <is>
          <t>2</t>
        </is>
      </c>
      <c r="E215" s="5" t="inlineStr">
        <is>
          <t>1.500,00</t>
        </is>
      </c>
      <c r="F215" s="4" t="inlineStr">
        <is>
          <t>500.00</t>
        </is>
      </c>
    </row>
    <row collapsed="false" customFormat="false" customHeight="false" hidden="false" ht="12.1" outlineLevel="0" r="216">
      <c r="A216" s="5" t="s">
        <f>=HYPERLINK("https://www.leilaoonline.com.br/lote/detalhe/334245", "38162")</f>
      </c>
      <c r="B216" s="4" t="s">
        <f>=HYPERLINK("https://www.leilaoonline.com.br/lote/detalhe/334245", " PEÇAS DE REPOSIÇÃO AGRÍCOLAS - LOC. GASA")</f>
      </c>
      <c r="C216" s="4" t="inlineStr">
        <is>
          <t>Não vendido</t>
        </is>
      </c>
      <c r="D216" s="4" t="inlineStr">
        <is>
          <t>0</t>
        </is>
      </c>
      <c r="E216" s="5" t="inlineStr">
        <is>
          <t>1.000,00</t>
        </is>
      </c>
      <c r="F216" s="4" t="inlineStr">
        <is>
          <t>500.00</t>
        </is>
      </c>
    </row>
    <row collapsed="false" customFormat="false" customHeight="false" hidden="false" ht="12.1" outlineLevel="0" r="217">
      <c r="A217" s="5" t="s">
        <f>=HYPERLINK("https://www.leilaoonline.com.br/lote/detalhe/334248", "38163")</f>
      </c>
      <c r="B217" s="4" t="s">
        <f>=HYPERLINK("https://www.leilaoonline.com.br/lote/detalhe/334248", " 08 ADUBADEIRAS - LOC. GASA")</f>
      </c>
      <c r="C217" s="4" t="inlineStr">
        <is>
          <t>Vendido</t>
        </is>
      </c>
      <c r="D217" s="4" t="inlineStr">
        <is>
          <t>1</t>
        </is>
      </c>
      <c r="E217" s="5" t="inlineStr">
        <is>
          <t>2.000,00</t>
        </is>
      </c>
      <c r="F217" s="4" t="inlineStr">
        <is>
          <t>500.00</t>
        </is>
      </c>
    </row>
    <row collapsed="false" customFormat="false" customHeight="false" hidden="false" ht="12.1" outlineLevel="0" r="218">
      <c r="A218" s="5" t="s">
        <f>=HYPERLINK("https://www.leilaoonline.com.br/lote/detalhe/334249", "38164")</f>
      </c>
      <c r="B218" s="4" t="s">
        <f>=HYPERLINK("https://www.leilaoonline.com.br/lote/detalhe/334249", " 02 COMPRESSORES - LOC. GASA")</f>
      </c>
      <c r="C218" s="4" t="inlineStr">
        <is>
          <t>Não vendido</t>
        </is>
      </c>
      <c r="D218" s="4" t="inlineStr">
        <is>
          <t>0</t>
        </is>
      </c>
      <c r="E218" s="5" t="inlineStr">
        <is>
          <t>1.500,00</t>
        </is>
      </c>
      <c r="F218" s="4" t="inlineStr">
        <is>
          <t>500.00</t>
        </is>
      </c>
    </row>
    <row collapsed="false" customFormat="false" customHeight="false" hidden="false" ht="12.1" outlineLevel="0" r="219">
      <c r="A219" s="5" t="s">
        <f>=HYPERLINK("https://www.leilaoonline.com.br/lote/detalhe/334247", "38166")</f>
      </c>
      <c r="B219" s="4" t="s">
        <f>=HYPERLINK("https://www.leilaoonline.com.br/lote/detalhe/334247", " 02 PNEUS 600/60 30.5 - 01 PNEU 10/16.5, 01 PNEU 500/45 22.5 - LOC. GASA")</f>
      </c>
      <c r="C219" s="4" t="inlineStr">
        <is>
          <t>Vendido</t>
        </is>
      </c>
      <c r="D219" s="4" t="inlineStr">
        <is>
          <t>6</t>
        </is>
      </c>
      <c r="E219" s="5" t="inlineStr">
        <is>
          <t>1.100,00</t>
        </is>
      </c>
      <c r="F219" s="4" t="inlineStr">
        <is>
          <t>100.00</t>
        </is>
      </c>
    </row>
    <row collapsed="false" customFormat="false" customHeight="false" hidden="false" ht="12.1" outlineLevel="0" r="220">
      <c r="A220" s="5" t="s">
        <f>=HYPERLINK("https://www.leilaoonline.com.br/lote/detalhe/334244", "38167")</f>
      </c>
      <c r="B220" s="4" t="s">
        <f>=HYPERLINK("https://www.leilaoonline.com.br/lote/detalhe/334244", " ADUBADOR CARDEROLI - LOC. GASA")</f>
      </c>
      <c r="C220" s="4" t="inlineStr">
        <is>
          <t>Não vendido</t>
        </is>
      </c>
      <c r="D220" s="4" t="inlineStr">
        <is>
          <t>0</t>
        </is>
      </c>
      <c r="E220" s="5" t="inlineStr">
        <is>
          <t>1.000,00</t>
        </is>
      </c>
      <c r="F220" s="4" t="inlineStr">
        <is>
          <t>500.00</t>
        </is>
      </c>
    </row>
    <row collapsed="false" customFormat="false" customHeight="false" hidden="false" ht="12.1" outlineLevel="0" r="221">
      <c r="A221" s="5" t="s">
        <f>=HYPERLINK("https://www.leilaoonline.com.br/lote/detalhe/334242", "38168")</f>
      </c>
      <c r="B221" s="4" t="s">
        <f>=HYPERLINK("https://www.leilaoonline.com.br/lote/detalhe/334242", "PLANTADORA DE CANA TMA 2 LINHAS; ANO 2018. - FR57365 - LOC. GASA")</f>
      </c>
      <c r="C221" s="4" t="inlineStr">
        <is>
          <t>Não vendido</t>
        </is>
      </c>
      <c r="D221" s="4" t="inlineStr">
        <is>
          <t>0</t>
        </is>
      </c>
      <c r="E221" s="5" t="inlineStr">
        <is>
          <t>10.000,00</t>
        </is>
      </c>
      <c r="F221" s="4" t="inlineStr">
        <is>
          <t>500.00</t>
        </is>
      </c>
    </row>
    <row collapsed="false" customFormat="false" customHeight="false" hidden="false" ht="12.1" outlineLevel="0" r="222">
      <c r="A222" s="5" t="s">
        <f>=HYPERLINK("https://www.leilaoonline.com.br/lote/detalhe/334243", "38169")</f>
      </c>
      <c r="B222" s="4" t="s">
        <f>=HYPERLINK("https://www.leilaoonline.com.br/lote/detalhe/334243", "02 ELEVADORES, E 2 CABINES DE COLHEDORA - LOC. GASA")</f>
      </c>
      <c r="C222" s="4" t="inlineStr">
        <is>
          <t>Vendido</t>
        </is>
      </c>
      <c r="D222" s="4" t="inlineStr">
        <is>
          <t>1</t>
        </is>
      </c>
      <c r="E222" s="5" t="inlineStr">
        <is>
          <t>1.500,00</t>
        </is>
      </c>
      <c r="F222" s="4" t="inlineStr">
        <is>
          <t>250.00</t>
        </is>
      </c>
    </row>
    <row collapsed="false" customFormat="false" customHeight="false" hidden="false" ht="12.1" outlineLevel="0" r="223">
      <c r="A223" s="5" t="s">
        <f>=HYPERLINK("https://www.leilaoonline.com.br/lote/detalhe/334241", "38170")</f>
      </c>
      <c r="B223" s="4" t="s">
        <f>=HYPERLINK("https://www.leilaoonline.com.br/lote/detalhe/334241", " COLHEDORA JOHN DEERE 3522 2L; (SUCATEADA); ANO 2015. - FR188007 - LOC. GASA")</f>
      </c>
      <c r="C223" s="4" t="inlineStr">
        <is>
          <t>Vendido</t>
        </is>
      </c>
      <c r="D223" s="4" t="inlineStr">
        <is>
          <t>1</t>
        </is>
      </c>
      <c r="E223" s="5" t="inlineStr">
        <is>
          <t>20.000,00</t>
        </is>
      </c>
      <c r="F223" s="4" t="inlineStr">
        <is>
          <t>1000.00</t>
        </is>
      </c>
    </row>
    <row collapsed="false" customFormat="false" customHeight="false" hidden="false" ht="12.1" outlineLevel="0" r="224">
      <c r="A224" s="5" t="s">
        <f>=HYPERLINK("https://www.leilaoonline.com.br/lote/detalhe/334252", "38171")</f>
      </c>
      <c r="B224" s="4" t="s">
        <f>=HYPERLINK("https://www.leilaoonline.com.br/lote/detalhe/334252", " LOTE DE EQUIPAMENTOS ELETRÔNICOS DIVERSOS - LOC. MUNDIAL")</f>
      </c>
      <c r="C224" s="4" t="inlineStr">
        <is>
          <t>Não vendido</t>
        </is>
      </c>
      <c r="D224" s="4" t="inlineStr">
        <is>
          <t>0</t>
        </is>
      </c>
      <c r="E224" s="5" t="inlineStr">
        <is>
          <t>500,00</t>
        </is>
      </c>
      <c r="F224" s="4" t="inlineStr">
        <is>
          <t>100.00</t>
        </is>
      </c>
    </row>
    <row collapsed="false" customFormat="false" customHeight="false" hidden="false" ht="12.1" outlineLevel="0" r="225">
      <c r="A225" s="5" t="s">
        <f>=HYPERLINK("https://www.leilaoonline.com.br/lote/detalhe/334253", "38172")</f>
      </c>
      <c r="B225" s="4" t="s">
        <f>=HYPERLINK("https://www.leilaoonline.com.br/lote/detalhe/334253", " 01 COFRE - LOC. MUNDIAL")</f>
      </c>
      <c r="C225" s="4" t="inlineStr">
        <is>
          <t>Não vendido</t>
        </is>
      </c>
      <c r="D225" s="4" t="inlineStr">
        <is>
          <t>0</t>
        </is>
      </c>
      <c r="E225" s="5" t="inlineStr">
        <is>
          <t>200,00</t>
        </is>
      </c>
      <c r="F225" s="4" t="inlineStr">
        <is>
          <t>50.00</t>
        </is>
      </c>
    </row>
    <row collapsed="false" customFormat="false" customHeight="false" hidden="false" ht="12.1" outlineLevel="0" r="226">
      <c r="A226" s="5" t="s">
        <f>=HYPERLINK("https://www.leilaoonline.com.br/lote/detalhe/334251", "38173")</f>
      </c>
      <c r="B226" s="4" t="s">
        <f>=HYPERLINK("https://www.leilaoonline.com.br/lote/detalhe/334251", " HILO COMPLETO COM REDUTOR E MOTOR DE ACIONAMENTO - LOC. MUNDIAL")</f>
      </c>
      <c r="C226" s="4" t="inlineStr">
        <is>
          <t>Não vendido</t>
        </is>
      </c>
      <c r="D226" s="4" t="inlineStr">
        <is>
          <t>0</t>
        </is>
      </c>
      <c r="E226" s="5" t="inlineStr">
        <is>
          <t>10.000,00</t>
        </is>
      </c>
      <c r="F226" s="4" t="inlineStr">
        <is>
          <t>1000.00</t>
        </is>
      </c>
    </row>
    <row collapsed="false" customFormat="false" customHeight="false" hidden="false" ht="12.1" outlineLevel="0" r="227">
      <c r="A227" s="5" t="s">
        <f>=HYPERLINK("https://www.leilaoonline.com.br/lote/detalhe/334250", "38174")</f>
      </c>
      <c r="B227" s="4" t="s">
        <f>=HYPERLINK("https://www.leilaoonline.com.br/lote/detalhe/334250", " 01 VOLANDEIRA, 01 PINHÃO - APROX. 8 TONELADAS; (VENDA POR KG) - LOC. MUNDIAL")</f>
      </c>
      <c r="C227" s="4" t="inlineStr">
        <is>
          <t>Não vendido</t>
        </is>
      </c>
      <c r="D227" s="4" t="inlineStr">
        <is>
          <t>2</t>
        </is>
      </c>
      <c r="E227" s="5" t="inlineStr">
        <is>
          <t>8.000,00</t>
        </is>
      </c>
      <c r="F227" s="4" t="inlineStr">
        <is>
          <t>0.10</t>
        </is>
      </c>
    </row>
    <row collapsed="false" customFormat="false" customHeight="false" hidden="false" ht="12.1" outlineLevel="0" r="228">
      <c r="A228" s="5" t="s">
        <f>=HYPERLINK("https://www.leilaoonline.com.br/lote/detalhe/334246", "38175")</f>
      </c>
      <c r="B228" s="4" t="s">
        <f>=HYPERLINK("https://www.leilaoonline.com.br/lote/detalhe/334246", " 01 REDUTOR NG F1D-660/ 1650 HP - LOC. MUNDIAL")</f>
      </c>
      <c r="C228" s="4" t="inlineStr">
        <is>
          <t>Vendido</t>
        </is>
      </c>
      <c r="D228" s="4" t="inlineStr">
        <is>
          <t>12</t>
        </is>
      </c>
      <c r="E228" s="5" t="inlineStr">
        <is>
          <t>10.500,00</t>
        </is>
      </c>
      <c r="F228" s="4" t="inlineStr">
        <is>
          <t>500.00</t>
        </is>
      </c>
    </row>
    <row collapsed="false" customFormat="false" customHeight="false" hidden="false" ht="12.1" outlineLevel="0" r="229">
      <c r="A229" s="5" t="s">
        <f>=HYPERLINK("https://www.leilaoonline.com.br/lote/detalhe/334225", "38176")</f>
      </c>
      <c r="B229" s="4" t="s">
        <f>=HYPERLINK("https://www.leilaoonline.com.br/lote/detalhe/334225", " 02 CONJUNTOS DE TROCADOR DE CALOR - LOC. BENALCOOL")</f>
      </c>
      <c r="C229" s="4" t="inlineStr">
        <is>
          <t>Vendido</t>
        </is>
      </c>
      <c r="D229" s="4" t="inlineStr">
        <is>
          <t>44</t>
        </is>
      </c>
      <c r="E229" s="5" t="inlineStr">
        <is>
          <t>26.500,00</t>
        </is>
      </c>
      <c r="F229" s="4" t="inlineStr">
        <is>
          <t>500.00</t>
        </is>
      </c>
    </row>
    <row collapsed="false" customFormat="false" customHeight="false" hidden="false" ht="12.1" outlineLevel="0" r="230">
      <c r="A230" s="5" t="s">
        <f>=HYPERLINK("https://www.leilaoonline.com.br/lote/detalhe/334228", "38177")</f>
      </c>
      <c r="B230" s="4" t="s">
        <f>=HYPERLINK("https://www.leilaoonline.com.br/lote/detalhe/334228", " FILTRO DE LEVEDO/ TANQUE DE AÇO CARBONO - LOC. BENALCOOL")</f>
      </c>
      <c r="C230" s="4" t="inlineStr">
        <is>
          <t>Não vendido</t>
        </is>
      </c>
      <c r="D230" s="4" t="inlineStr">
        <is>
          <t>0</t>
        </is>
      </c>
      <c r="E230" s="5" t="inlineStr">
        <is>
          <t>1.000,00</t>
        </is>
      </c>
      <c r="F230" s="4" t="inlineStr">
        <is>
          <t>500.00</t>
        </is>
      </c>
    </row>
    <row collapsed="false" customFormat="false" customHeight="false" hidden="false" ht="12.1" outlineLevel="0" r="231">
      <c r="A231" s="5" t="s">
        <f>=HYPERLINK("https://www.leilaoonline.com.br/lote/detalhe/334227", "38178")</f>
      </c>
      <c r="B231" s="4" t="s">
        <f>=HYPERLINK("https://www.leilaoonline.com.br/lote/detalhe/334227", "BETONEIRA - LOC. BENALCOOL")</f>
      </c>
      <c r="C231" s="4" t="inlineStr">
        <is>
          <t>Não vendido</t>
        </is>
      </c>
      <c r="D231" s="4" t="inlineStr">
        <is>
          <t>0</t>
        </is>
      </c>
      <c r="E231" s="5" t="inlineStr">
        <is>
          <t>1.000,00</t>
        </is>
      </c>
      <c r="F231" s="4" t="inlineStr">
        <is>
          <t>500.00</t>
        </is>
      </c>
    </row>
    <row collapsed="false" customFormat="false" customHeight="false" hidden="false" ht="12.1" outlineLevel="0" r="232">
      <c r="A232" s="5" t="s">
        <f>=HYPERLINK("https://www.leilaoonline.com.br/lote/detalhe/334224", "38179")</f>
      </c>
      <c r="B232" s="4" t="s">
        <f>=HYPERLINK("https://www.leilaoonline.com.br/lote/detalhe/334224", "SECADORA DE AR COMPRIMIDO FARGON - LOC. BENALCOOL")</f>
      </c>
      <c r="C232" s="4" t="inlineStr">
        <is>
          <t>Não vendido</t>
        </is>
      </c>
      <c r="D232" s="4" t="inlineStr">
        <is>
          <t>1</t>
        </is>
      </c>
      <c r="E232" s="5" t="inlineStr">
        <is>
          <t>1.000,00</t>
        </is>
      </c>
      <c r="F232" s="4" t="inlineStr">
        <is>
          <t>500.00</t>
        </is>
      </c>
    </row>
    <row collapsed="false" customFormat="false" customHeight="false" hidden="false" ht="12.1" outlineLevel="0" r="233">
      <c r="A233" s="5" t="s">
        <f>=HYPERLINK("https://www.leilaoonline.com.br/lote/detalhe/334226", "38180")</f>
      </c>
      <c r="B233" s="4" t="s">
        <f>=HYPERLINK("https://www.leilaoonline.com.br/lote/detalhe/334226", "BOMBA CR101 - LOC. BENALCOOL")</f>
      </c>
      <c r="C233" s="4" t="inlineStr">
        <is>
          <t>Vendido</t>
        </is>
      </c>
      <c r="D233" s="4" t="inlineStr">
        <is>
          <t>1</t>
        </is>
      </c>
      <c r="E233" s="5" t="inlineStr">
        <is>
          <t>1.000,00</t>
        </is>
      </c>
      <c r="F233" s="4" t="inlineStr">
        <is>
          <t>250.00</t>
        </is>
      </c>
    </row>
    <row collapsed="false" customFormat="false" customHeight="false" hidden="false" ht="12.1" outlineLevel="0" r="234">
      <c r="A234" s="5" t="s">
        <f>=HYPERLINK("https://www.leilaoonline.com.br/lote/detalhe/334230", "38181")</f>
      </c>
      <c r="B234" s="4" t="s">
        <f>=HYPERLINK("https://www.leilaoonline.com.br/lote/detalhe/334230", " PEÇAS AGRÍCOLAS - LOC. BENALCOOL")</f>
      </c>
      <c r="C234" s="4" t="inlineStr">
        <is>
          <t>Não vendido</t>
        </is>
      </c>
      <c r="D234" s="4" t="inlineStr">
        <is>
          <t>0</t>
        </is>
      </c>
      <c r="E234" s="5" t="inlineStr">
        <is>
          <t>1.000,00</t>
        </is>
      </c>
      <c r="F234" s="4" t="inlineStr">
        <is>
          <t>500.00</t>
        </is>
      </c>
    </row>
    <row collapsed="false" customFormat="false" customHeight="false" hidden="false" ht="12.1" outlineLevel="0" r="235">
      <c r="A235" s="5" t="s">
        <f>=HYPERLINK("https://www.leilaoonline.com.br/lote/detalhe/334229", "38182")</f>
      </c>
      <c r="B235" s="4" t="s">
        <f>=HYPERLINK("https://www.leilaoonline.com.br/lote/detalhe/334229", " 03 MAQUINAS DE SOLDA; E 01 GERADOR - LOC. BENALCOOL")</f>
      </c>
      <c r="C235" s="4" t="inlineStr">
        <is>
          <t>Vendido</t>
        </is>
      </c>
      <c r="D235" s="4" t="inlineStr">
        <is>
          <t>16</t>
        </is>
      </c>
      <c r="E235" s="5" t="inlineStr">
        <is>
          <t>4.750,00</t>
        </is>
      </c>
      <c r="F235" s="4" t="inlineStr">
        <is>
          <t>250.00</t>
        </is>
      </c>
    </row>
    <row collapsed="false" customFormat="false" customHeight="false" hidden="false" ht="12.1" outlineLevel="0" r="236">
      <c r="A236" s="5" t="s">
        <f>=HYPERLINK("https://www.leilaoonline.com.br/lote/detalhe/334223", "38183")</f>
      </c>
      <c r="B236" s="4" t="s">
        <f>=HYPERLINK("https://www.leilaoonline.com.br/lote/detalhe/334223", " CARRETA  ABRIGO OPERAD. IRRIGAB.; ANO 2010. - FR84820 - LOC. BENALCOOL")</f>
      </c>
      <c r="C236" s="4" t="inlineStr">
        <is>
          <t>Não vendido</t>
        </is>
      </c>
      <c r="D236" s="4" t="inlineStr">
        <is>
          <t>0</t>
        </is>
      </c>
      <c r="E236" s="5" t="inlineStr">
        <is>
          <t>2.500,00</t>
        </is>
      </c>
      <c r="F236" s="4" t="inlineStr">
        <is>
          <t>500.00</t>
        </is>
      </c>
    </row>
    <row collapsed="false" customFormat="false" customHeight="false" hidden="false" ht="12.1" outlineLevel="0" r="237">
      <c r="A237" s="5" t="s">
        <f>=HYPERLINK("https://www.leilaoonline.com.br/lote/detalhe/334239", "38184")</f>
      </c>
      <c r="B237" s="4" t="s">
        <f>=HYPERLINK("https://www.leilaoonline.com.br/lote/detalhe/334239", " ESTRUTURA BARRACÃO - LOC. DESTIVALE")</f>
      </c>
      <c r="C237" s="4" t="inlineStr">
        <is>
          <t>Não vendido</t>
        </is>
      </c>
      <c r="D237" s="4" t="inlineStr">
        <is>
          <t>11</t>
        </is>
      </c>
      <c r="E237" s="5" t="inlineStr">
        <is>
          <t>20.000,00</t>
        </is>
      </c>
      <c r="F237" s="4" t="inlineStr">
        <is>
          <t>1000.00</t>
        </is>
      </c>
    </row>
    <row collapsed="false" customFormat="false" customHeight="false" hidden="false" ht="12.1" outlineLevel="0" r="238">
      <c r="A238" s="5" t="s">
        <f>=HYPERLINK("https://www.leilaoonline.com.br/lote/detalhe/334237", "38185")</f>
      </c>
      <c r="B238" s="4" t="s">
        <f>=HYPERLINK("https://www.leilaoonline.com.br/lote/detalhe/334237", " CABINE SUCATEADA - LOC. DESTIVALE")</f>
      </c>
      <c r="C238" s="4" t="inlineStr">
        <is>
          <t>Não vendido</t>
        </is>
      </c>
      <c r="D238" s="4" t="inlineStr">
        <is>
          <t>0</t>
        </is>
      </c>
      <c r="E238" s="5" t="inlineStr">
        <is>
          <t>500,00</t>
        </is>
      </c>
      <c r="F238" s="4" t="inlineStr">
        <is>
          <t>100.00</t>
        </is>
      </c>
    </row>
    <row collapsed="false" customFormat="false" customHeight="false" hidden="false" ht="12.1" outlineLevel="0" r="239">
      <c r="A239" s="5" t="s">
        <f>=HYPERLINK("https://www.leilaoonline.com.br/lote/detalhe/334232", "38186")</f>
      </c>
      <c r="B239" s="4" t="s">
        <f>=HYPERLINK("https://www.leilaoonline.com.br/lote/detalhe/334232", "VEJA VÍDEO!!! TRATOR PNEU VALTRA BT 190 4X4; ANO 2014. - FR91377 - LOC. DESTIVALE")</f>
      </c>
      <c r="C239" s="4" t="inlineStr">
        <is>
          <t>Vendido</t>
        </is>
      </c>
      <c r="D239" s="4" t="inlineStr">
        <is>
          <t>61</t>
        </is>
      </c>
      <c r="E239" s="5" t="inlineStr">
        <is>
          <t>100.000,00</t>
        </is>
      </c>
      <c r="F239" s="4" t="inlineStr">
        <is>
          <t>1000.00</t>
        </is>
      </c>
    </row>
    <row collapsed="false" customFormat="false" customHeight="false" hidden="false" ht="12.1" outlineLevel="0" r="240">
      <c r="A240" s="5" t="s">
        <f>=HYPERLINK("https://www.leilaoonline.com.br/lote/detalhe/334234", "38187")</f>
      </c>
      <c r="B240" s="4" t="s">
        <f>=HYPERLINK("https://www.leilaoonline.com.br/lote/detalhe/334234", "VEJA VÍDEO!!! COLHEDORA JOHN DEERE CH670 2L; ANO 2017. - FR173218 - LOC. DESTIVALE")</f>
      </c>
      <c r="C240" s="4" t="inlineStr">
        <is>
          <t>Não vendido</t>
        </is>
      </c>
      <c r="D240" s="4" t="inlineStr">
        <is>
          <t>5</t>
        </is>
      </c>
      <c r="E240" s="5" t="inlineStr">
        <is>
          <t>68.000,00</t>
        </is>
      </c>
      <c r="F240" s="4" t="inlineStr">
        <is>
          <t>2000.00</t>
        </is>
      </c>
    </row>
    <row collapsed="false" customFormat="false" customHeight="false" hidden="false" ht="12.1" outlineLevel="0" r="241">
      <c r="A241" s="5" t="s">
        <f>=HYPERLINK("https://www.leilaoonline.com.br/lote/detalhe/334238", "38188")</f>
      </c>
      <c r="B241" s="4" t="s">
        <f>=HYPERLINK("https://www.leilaoonline.com.br/lote/detalhe/334238", " PEÇAS DE REPOSIÇÃO EQUIPAMENTOS AGRÍCOLAS - LOC. DESTIVALE")</f>
      </c>
      <c r="C241" s="4" t="inlineStr">
        <is>
          <t>Vendido</t>
        </is>
      </c>
      <c r="D241" s="4" t="inlineStr">
        <is>
          <t>14</t>
        </is>
      </c>
      <c r="E241" s="5" t="inlineStr">
        <is>
          <t>1.800,00</t>
        </is>
      </c>
      <c r="F241" s="4" t="inlineStr">
        <is>
          <t>100.00</t>
        </is>
      </c>
    </row>
    <row collapsed="false" customFormat="false" customHeight="false" hidden="false" ht="12.1" outlineLevel="0" r="242">
      <c r="A242" s="5" t="s">
        <f>=HYPERLINK("https://www.leilaoonline.com.br/lote/detalhe/334240", "38189")</f>
      </c>
      <c r="B242" s="4" t="s">
        <f>=HYPERLINK("https://www.leilaoonline.com.br/lote/detalhe/334240", " 03 PLACAS SOLARES - LOC. DESTIVALE")</f>
      </c>
      <c r="C242" s="4" t="inlineStr">
        <is>
          <t>Vendido</t>
        </is>
      </c>
      <c r="D242" s="4" t="inlineStr">
        <is>
          <t>2</t>
        </is>
      </c>
      <c r="E242" s="5" t="inlineStr">
        <is>
          <t>700,00</t>
        </is>
      </c>
      <c r="F242" s="4" t="inlineStr">
        <is>
          <t>100.00</t>
        </is>
      </c>
    </row>
    <row collapsed="false" customFormat="false" customHeight="false" hidden="false" ht="12.1" outlineLevel="0" r="243">
      <c r="A243" s="5" t="s">
        <f>=HYPERLINK("https://www.leilaoonline.com.br/lote/detalhe/334233", "38190")</f>
      </c>
      <c r="B243" s="4" t="s">
        <f>=HYPERLINK("https://www.leilaoonline.com.br/lote/detalhe/334233", "2 BI-HELICOIDAL; APROX. 10 TONELADAS; (VENDA POR KG) - LOC. DESTIVALE")</f>
      </c>
      <c r="C243" s="4" t="inlineStr">
        <is>
          <t>Não vendido</t>
        </is>
      </c>
      <c r="D243" s="4" t="inlineStr">
        <is>
          <t>2</t>
        </is>
      </c>
      <c r="E243" s="5" t="inlineStr">
        <is>
          <t>10.000,00</t>
        </is>
      </c>
      <c r="F243" s="4" t="inlineStr">
        <is>
          <t>0.10</t>
        </is>
      </c>
    </row>
    <row collapsed="false" customFormat="false" customHeight="false" hidden="false" ht="12.1" outlineLevel="0" r="244">
      <c r="A244" s="5" t="s">
        <f>=HYPERLINK("https://www.leilaoonline.com.br/lote/detalhe/334231", "38191")</f>
      </c>
      <c r="B244" s="4" t="s">
        <f>=HYPERLINK("https://www.leilaoonline.com.br/lote/detalhe/334231", " 02 VOLANDEIRAS DENTIÇÃO RETA/ 01 VOLANDEIRA COM EIXO, APROX. 10 TON. (VENDA POR KG). - LOC. DESTIVALE")</f>
      </c>
      <c r="C244" s="4" t="inlineStr">
        <is>
          <t>Não vendido</t>
        </is>
      </c>
      <c r="D244" s="4" t="inlineStr">
        <is>
          <t>2</t>
        </is>
      </c>
      <c r="E244" s="5" t="inlineStr">
        <is>
          <t>10.000,00</t>
        </is>
      </c>
      <c r="F244" s="4" t="inlineStr">
        <is>
          <t>0.10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2026-11-04T04:41:38.00Z</dcterms:created>
  <dc:creator>Tellks Tecnologia</dc:creator>
  <cp:revision>0</cp:revision>
</cp:coreProperties>
</file>