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&lt;b&gt;(+ 500 LOTES)&lt;/b&gt; 40 Caminhões, 36 Maqs. Pesadas, 11 Empilh., 9 Transform. 10.000-15.00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=HYPERLINK("https://www.leilaoonline.com.br/lote/detalhe/52520", "005")</f>
      </c>
      <c r="B11" s="4" t="s">
        <f>=HYPERLINK("https://www.leilaoonline.com.br/lote/detalhe/52520", "082-029-2020 - Moto HONDA CG FAN 125 ANO: 2007 - PLACA:  MRP-5833")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=HYPERLINK("https://www.leilaoonline.com.br/lote/detalhe/52512", "006")</f>
      </c>
      <c r="B12" s="4" t="s">
        <f>=HYPERLINK("https://www.leilaoonline.com.br/lote/detalhe/52512", "082-028-2020 - Moto HONDA CG FAN 125 ANO: 2007 - PLACA:  MRP-5834")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=HYPERLINK("https://www.leilaoonline.com.br/lote/detalhe/52499", "007")</f>
      </c>
      <c r="B13" s="4" t="s">
        <f>=HYPERLINK("https://www.leilaoonline.com.br/lote/detalhe/52499", "082-019-2020 - Veículo FIAT PALIO ELX FLEX ANO: 2005 PLACA MQN-7568")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=HYPERLINK("https://www.leilaoonline.com.br/lote/detalhe/52701", "008")</f>
      </c>
      <c r="B14" s="4" t="s">
        <f>=HYPERLINK("https://www.leilaoonline.com.br/lote/detalhe/52701", "SLS-NXH7882-2020 - AMBULÂNCIA FORD, TRANSIT UNIVIDA, ANO 2011, IMB. 1000666034- LOC. São Luis / MA")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=HYPERLINK("https://www.leilaoonline.com.br/lote/detalhe/52511", "009")</f>
      </c>
      <c r="B15" s="4" t="s">
        <f>=HYPERLINK("https://www.leilaoonline.com.br/lote/detalhe/52511", "ACD-005-2020- AMBULÂNCIA I/M.BENZ, Riberauto, ANO 2006, IMB.1000581305- LOC. Açailândia-MA")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=HYPERLINK("https://www.leilaoonline.com.br/lote/detalhe/52521", "010")</f>
      </c>
      <c r="B16" s="4" t="s">
        <f>=HYPERLINK("https://www.leilaoonline.com.br/lote/detalhe/52521", "ACD-006-2020 - AMBULÂNCIA I/M.BENZ 313 CDI, SPRINTER F, ANO 2006, IMB.1000581304- LOC. Açailândia-MA")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=HYPERLINK("https://www.leilaoonline.com.br/lote/detalhe/45280", "011")</f>
      </c>
      <c r="B17" s="4" t="s">
        <f>=HYPERLINK("https://www.leilaoonline.com.br/lote/detalhe/45280", "PIC-194-2019-UTILITÁRIO M.BENZ 313CDI SprinterM, ANO 2009/2010, IMB.1000804875, LOC.ITABIRITO")</f>
      </c>
      <c r="C17" s="4" t="inlineStr">
        <is>
          <t>Vendido</t>
        </is>
      </c>
      <c r="D17" s="4" t="inlineStr">
        <is>
          <t>50</t>
        </is>
      </c>
      <c r="E17" s="5" t="inlineStr">
        <is>
          <t>28.000,00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=HYPERLINK("https://www.leilaoonline.com.br/lote/detalhe/52623", "012")</f>
      </c>
      <c r="B18" s="4" t="s">
        <f>=HYPERLINK("https://www.leilaoonline.com.br/lote/detalhe/52623", "082-034-2020 - VEÍCULO Utilitário MERCEDES BENZ 312 D ANO: 2001 PLACA: MTG-1897")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=HYPERLINK("https://www.leilaoonline.com.br/lote/detalhe/52615", "013")</f>
      </c>
      <c r="B19" s="4" t="s">
        <f>=HYPERLINK("https://www.leilaoonline.com.br/lote/detalhe/52615", "082-030-2020 - CAMINHÃO MERCEDES BENZ 313 CDI SPRINTER C ANO: 2007 PLACA: MRN-9424")</f>
      </c>
      <c r="C19" s="4" t="inlineStr">
        <is>
          <t>Vendido</t>
        </is>
      </c>
      <c r="D19" s="4" t="inlineStr">
        <is>
          <t>47</t>
        </is>
      </c>
      <c r="E19" s="5" t="inlineStr">
        <is>
          <t>43.000,00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=HYPERLINK("https://www.leilaoonline.com.br/lote/detalhe/52684", "014")</f>
      </c>
      <c r="B20" s="4" t="s">
        <f>=HYPERLINK("https://www.leilaoonline.com.br/lote/detalhe/52684", "082-061-2020 - VEÍCULO UTILITÁRIO FORD RANGER XLT 13F ANO: 2002 PLACA: MRP-8559")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=HYPERLINK("https://www.leilaoonline.com.br/lote/detalhe/45262", "015")</f>
      </c>
      <c r="B21" s="4" t="s">
        <f>=HYPERLINK("https://www.leilaoonline.com.br/lote/detalhe/45262", "PIC-151-2019 - CAMINHONETE CHEVROLET PICK-UP S10-CS, ANO 2006, IMB.1000025512, LOC. ITABIRITO")</f>
      </c>
      <c r="C21" s="4" t="inlineStr">
        <is>
          <t>Vendido</t>
        </is>
      </c>
      <c r="D21" s="4" t="inlineStr">
        <is>
          <t>32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=HYPERLINK("https://www.leilaoonline.com.br/lote/detalhe/45253", "016")</f>
      </c>
      <c r="B22" s="4" t="s">
        <f>=HYPERLINK("https://www.leilaoonline.com.br/lote/detalhe/45253", "PIC-149-2019- CAMINHONETE NISSAN FRONTIER 4X4 SE, ANO 2005, IMB.10000262667, LOC. ITABIRITO")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=HYPERLINK("https://www.leilaoonline.com.br/lote/detalhe/52509", "017")</f>
      </c>
      <c r="B23" s="4" t="s">
        <f>=HYPERLINK("https://www.leilaoonline.com.br/lote/detalhe/52509", "ACD-003-2020 - CAMINHONETE MMC/L200, SPORT 4X4 HPE, ANO 2004., IMB 1000834532-  LOC.Açailândia-MA LOC.Açailândia-MA")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=HYPERLINK("https://www.leilaoonline.com.br/lote/detalhe/52507", "018")</f>
      </c>
      <c r="B24" s="4" t="s">
        <f>=HYPERLINK("https://www.leilaoonline.com.br/lote/detalhe/52507", "ACD-002-2020 - CAMINHONETE MMC/L200 4X4 GL, ANO 2010, IMB 1000581244- LOC.Açailândia-MA")</f>
      </c>
      <c r="C24" s="4" t="inlineStr">
        <is>
          <t>Vendido</t>
        </is>
      </c>
      <c r="D24" s="4" t="inlineStr">
        <is>
          <t>25</t>
        </is>
      </c>
      <c r="E24" s="5" t="inlineStr">
        <is>
          <t>32.900,00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=HYPERLINK("https://www.leilaoonline.com.br/lote/detalhe/52505", "019")</f>
      </c>
      <c r="B25" s="4" t="s">
        <f>=HYPERLINK("https://www.leilaoonline.com.br/lote/detalhe/52505", "ACD-001-2020 - CAMINHONETE MMC/L200 4X4 GL, ANO 2010 , IMB.1000581249- LOC. Açailândia-MA")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32.900,00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=HYPERLINK("https://www.leilaoonline.com.br/lote/detalhe/45072", "020")</f>
      </c>
      <c r="B26" s="4" t="s">
        <f>=HYPERLINK("https://www.leilaoonline.com.br/lote/detalhe/45072", "BRU-109-2020 - CAMINHONETE FORD 250, ANO 2011, LOC. São Gonçalo do Rio Abaixo/MG")</f>
      </c>
      <c r="C26" s="4" t="inlineStr">
        <is>
          <t>Vendido</t>
        </is>
      </c>
      <c r="D26" s="4" t="inlineStr">
        <is>
          <t>113</t>
        </is>
      </c>
      <c r="E26" s="5" t="inlineStr">
        <is>
          <t>53.350,00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=HYPERLINK("https://www.leilaoonline.com.br/lote/detalhe/45073", "021")</f>
      </c>
      <c r="B27" s="4" t="s">
        <f>=HYPERLINK("https://www.leilaoonline.com.br/lote/detalhe/45073", "BRU-110-2020- CAMINHONETE FORD 250, ANO 2011, IMOB. 1000782181, LOC. São Gonçalo do Rio Abaixo/MG")</f>
      </c>
      <c r="C27" s="4" t="inlineStr">
        <is>
          <t>Vendido</t>
        </is>
      </c>
      <c r="D27" s="4" t="inlineStr">
        <is>
          <t>93</t>
        </is>
      </c>
      <c r="E27" s="5" t="inlineStr">
        <is>
          <t>58.250,00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=HYPERLINK("https://www.leilaoonline.com.br/lote/detalhe/52693", "027")</f>
      </c>
      <c r="B28" s="4" t="s">
        <f>=HYPERLINK("https://www.leilaoonline.com.br/lote/detalhe/52693", "082-082-2020 - Caminhão MERCEDES BENZ 710 ANO: 2000 PLACA: MTL-4689")</f>
      </c>
      <c r="C28" s="4" t="inlineStr">
        <is>
          <t>Vendido</t>
        </is>
      </c>
      <c r="D28" s="4" t="inlineStr">
        <is>
          <t>36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=HYPERLINK("https://www.leilaoonline.com.br/lote/detalhe/52678", "028")</f>
      </c>
      <c r="B29" s="4" t="s">
        <f>=HYPERLINK("https://www.leilaoonline.com.br/lote/detalhe/52678", "082-058-2020 - Caminhão pipa MERCEDES BENZ 1718 ANO: 2009 PLACA: MTU6422")</f>
      </c>
      <c r="C29" s="4" t="inlineStr">
        <is>
          <t>Vendido</t>
        </is>
      </c>
      <c r="D29" s="4" t="inlineStr">
        <is>
          <t>36</t>
        </is>
      </c>
      <c r="E29" s="5" t="inlineStr">
        <is>
          <t>58.000,00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=HYPERLINK("https://www.leilaoonline.com.br/lote/detalhe/52694", "029")</f>
      </c>
      <c r="B30" s="4" t="s">
        <f>=HYPERLINK("https://www.leilaoonline.com.br/lote/detalhe/52694", "082-084-2020 - Caminhão MERCEDES BENZ L1418 ANO: 2001 PLACA: MTL2161")</f>
      </c>
      <c r="C30" s="4" t="inlineStr">
        <is>
          <t>Vendido</t>
        </is>
      </c>
      <c r="D30" s="4" t="inlineStr">
        <is>
          <t>81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=HYPERLINK("https://www.leilaoonline.com.br/lote/detalhe/52682", "030")</f>
      </c>
      <c r="B31" s="4" t="s">
        <f>=HYPERLINK("https://www.leilaoonline.com.br/lote/detalhe/52682", "082-060-2020 - CAMINHÃO MERCEDES BENZ L 1620 ANO: 2001 PLACA: MTJ-2073")</f>
      </c>
      <c r="C31" s="4" t="inlineStr">
        <is>
          <t>Vendido</t>
        </is>
      </c>
      <c r="D31" s="4" t="inlineStr">
        <is>
          <t>58</t>
        </is>
      </c>
      <c r="E31" s="5" t="inlineStr">
        <is>
          <t>46.500,00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=HYPERLINK("https://www.leilaoonline.com.br/lote/detalhe/45074", "031")</f>
      </c>
      <c r="B32" s="4" t="s">
        <f>=HYPERLINK("https://www.leilaoonline.com.br/lote/detalhe/45074", "BRU-CT6247-2020 - CAMINHÃO M.BENZ 6x4, AXOR 3340, ANO 2011, PLACA: HNH-2183, IMOB. 1000711598, LOC. São Gonçalo do Rio Abaixo / MG")</f>
      </c>
      <c r="C32" s="4" t="inlineStr">
        <is>
          <t>Vendido</t>
        </is>
      </c>
      <c r="D32" s="4" t="inlineStr">
        <is>
          <t>182</t>
        </is>
      </c>
      <c r="E32" s="5" t="inlineStr">
        <is>
          <t>76.500,00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=HYPERLINK("https://www.leilaoonline.com.br/lote/detalhe/51858", "032")</f>
      </c>
      <c r="B33" s="4" t="s">
        <f>=HYPERLINK("https://www.leilaoonline.com.br/lote/detalhe/51858", "082-053-2020 - CAMINHÃO UTILITÁRIO MERCEDES BENZ ANO: 2001 MODELO: L 1620 PLACA: MTN5725")</f>
      </c>
      <c r="C33" s="4" t="inlineStr">
        <is>
          <t>Vendido</t>
        </is>
      </c>
      <c r="D33" s="4" t="inlineStr">
        <is>
          <t>46</t>
        </is>
      </c>
      <c r="E33" s="5" t="inlineStr">
        <is>
          <t>45.500,00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=HYPERLINK("https://www.leilaoonline.com.br/lote/detalhe/51857", "033")</f>
      </c>
      <c r="B34" s="4" t="s">
        <f>=HYPERLINK("https://www.leilaoonline.com.br/lote/detalhe/51857", "082-052-2020 - CAMINHÃO PIPA MERCEDES BENZ ANO: 2009 MODELO: 1718 PLACA: MTU1526")</f>
      </c>
      <c r="C34" s="4" t="inlineStr">
        <is>
          <t>Vendido</t>
        </is>
      </c>
      <c r="D34" s="4" t="inlineStr">
        <is>
          <t>49</t>
        </is>
      </c>
      <c r="E34" s="5" t="inlineStr">
        <is>
          <t>58.500,00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=HYPERLINK("https://www.leilaoonline.com.br/lote/detalhe/51854", "034")</f>
      </c>
      <c r="B35" s="4" t="s">
        <f>=HYPERLINK("https://www.leilaoonline.com.br/lote/detalhe/51854", "082-050-2020 - CAMINHÃO MERCEDES BENZ ANO: 2001 MODELO: L 1620-51 - PLACA MTM-8674")</f>
      </c>
      <c r="C35" s="4" t="inlineStr">
        <is>
          <t>Vendido</t>
        </is>
      </c>
      <c r="D35" s="4" t="inlineStr">
        <is>
          <t>50</t>
        </is>
      </c>
      <c r="E35" s="5" t="inlineStr">
        <is>
          <t>56.500,00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=HYPERLINK("https://www.leilaoonline.com.br/lote/detalhe/51856", "035")</f>
      </c>
      <c r="B36" s="4" t="s">
        <f>=HYPERLINK("https://www.leilaoonline.com.br/lote/detalhe/51856", "082-051-2020 - CAMINHÃO PIPA MERCEDES BENZ ANO: 2011 MODELO: ATEGO 1725 PLACA ODD8065")</f>
      </c>
      <c r="C36" s="4" t="inlineStr">
        <is>
          <t>Vendido</t>
        </is>
      </c>
      <c r="D36" s="4" t="inlineStr">
        <is>
          <t>51</t>
        </is>
      </c>
      <c r="E36" s="5" t="inlineStr">
        <is>
          <t>67.000,00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=HYPERLINK("https://www.leilaoonline.com.br/lote/detalhe/52671", "036")</f>
      </c>
      <c r="B37" s="4" t="s">
        <f>=HYPERLINK("https://www.leilaoonline.com.br/lote/detalhe/52671", "082-055-2020 - Caminhão MERCEDES BENZ L 1620 ANO: 2001 PLACA: MTM8823")</f>
      </c>
      <c r="C37" s="4" t="inlineStr">
        <is>
          <t>Vendido</t>
        </is>
      </c>
      <c r="D37" s="4" t="inlineStr">
        <is>
          <t>92</t>
        </is>
      </c>
      <c r="E37" s="5" t="inlineStr">
        <is>
          <t>44.500,00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=HYPERLINK("https://www.leilaoonline.com.br/lote/detalhe/52673", "037")</f>
      </c>
      <c r="B38" s="4" t="s">
        <f>=HYPERLINK("https://www.leilaoonline.com.br/lote/detalhe/52673", "082-056-2020 - CAMINHÃO MERCEDES BENZ L 1620-51 ANO: 2001 PLACA: MTM-9104")</f>
      </c>
      <c r="C38" s="4" t="inlineStr">
        <is>
          <t>Vendido</t>
        </is>
      </c>
      <c r="D38" s="4" t="inlineStr">
        <is>
          <t>82</t>
        </is>
      </c>
      <c r="E38" s="5" t="inlineStr">
        <is>
          <t>55.750,00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=HYPERLINK("https://www.leilaoonline.com.br/lote/detalhe/52680", "038")</f>
      </c>
      <c r="B39" s="4" t="s">
        <f>=HYPERLINK("https://www.leilaoonline.com.br/lote/detalhe/52680", "082-059-2020 - Caminhão pipa MERCEDES BENZ 2726 K6x4 ANO: 2010 PLACA: MTV2103")</f>
      </c>
      <c r="C39" s="4" t="inlineStr">
        <is>
          <t>Vendido</t>
        </is>
      </c>
      <c r="D39" s="4" t="inlineStr">
        <is>
          <t>96</t>
        </is>
      </c>
      <c r="E39" s="5" t="inlineStr">
        <is>
          <t>91.000,00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=HYPERLINK("https://www.leilaoonline.com.br/lote/detalhe/52610", "039")</f>
      </c>
      <c r="B40" s="4" t="s">
        <f>=HYPERLINK("https://www.leilaoonline.com.br/lote/detalhe/52610", "MARAB-008-2020 - CAMINHÃO Mercedes Benz, L 1620, ANO 2003, PLACA: JUS-4252 - IMB.1000852949- LOC. MARABÁ - PA ")</f>
      </c>
      <c r="C40" s="4" t="inlineStr">
        <is>
          <t>Não vendido</t>
        </is>
      </c>
      <c r="D40" s="4" t="inlineStr">
        <is>
          <t>54</t>
        </is>
      </c>
      <c r="E40" s="5" t="inlineStr">
        <is>
          <t>51.250,00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=HYPERLINK("https://www.leilaoonline.com.br/lote/detalhe/52676", "040")</f>
      </c>
      <c r="B41" s="4" t="s">
        <f>=HYPERLINK("https://www.leilaoonline.com.br/lote/detalhe/52676", "082-057-2020 - CAMINHÃO MERCEDES BENZ L 1620 ANO: 2001 PLACA: MTM9274")</f>
      </c>
      <c r="C41" s="4" t="inlineStr">
        <is>
          <t>Vendido</t>
        </is>
      </c>
      <c r="D41" s="4" t="inlineStr">
        <is>
          <t>98</t>
        </is>
      </c>
      <c r="E41" s="5" t="inlineStr">
        <is>
          <t>48.000,00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=HYPERLINK("https://www.leilaoonline.com.br/lote/detalhe/52695", "041")</f>
      </c>
      <c r="B42" s="4" t="s">
        <f>=HYPERLINK("https://www.leilaoonline.com.br/lote/detalhe/52695", "MCR-070-2020- CAMINHÃO ATEGO 1725 MBB, ANO 2006, PLACA: HSJ-7527 - IMB. 1000025172- LOC. CORUMBA/MS")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39.750,00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=HYPERLINK("https://www.leilaoonline.com.br/lote/detalhe/52510", "042")</f>
      </c>
      <c r="B43" s="4" t="s">
        <f>=HYPERLINK("https://www.leilaoonline.com.br/lote/detalhe/52510", "ACD-004-2020 - CAMINHÃO Mercedes Benz 1720 A, ANO 2003, PLACA: HPR-5477 - IMB.1000613437- LOC.Açailândia-MA")</f>
      </c>
      <c r="C43" s="4" t="inlineStr">
        <is>
          <t>Vendido</t>
        </is>
      </c>
      <c r="D43" s="4" t="inlineStr">
        <is>
          <t>79</t>
        </is>
      </c>
      <c r="E43" s="5" t="inlineStr">
        <is>
          <t>58.000,00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=HYPERLINK("https://www.leilaoonline.com.br/lote/detalhe/52629", "043")</f>
      </c>
      <c r="B44" s="4" t="s">
        <f>=HYPERLINK("https://www.leilaoonline.com.br/lote/detalhe/52629", "082-037-2020 - Caminhão MERCEDES BENZ L 1414 ANO: 1992 PLACA: MRA-9092")</f>
      </c>
      <c r="C44" s="4" t="inlineStr">
        <is>
          <t>Vendido</t>
        </is>
      </c>
      <c r="D44" s="4" t="inlineStr">
        <is>
          <t>31</t>
        </is>
      </c>
      <c r="E44" s="5" t="inlineStr">
        <is>
          <t>36.750,00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=HYPERLINK("https://www.leilaoonline.com.br/lote/detalhe/52692", "044")</f>
      </c>
      <c r="B45" s="4" t="s">
        <f>=HYPERLINK("https://www.leilaoonline.com.br/lote/detalhe/52692", "082-069-2020 - Caminhão basculante MERCEDES BENZ AXOR 2831K 6x4 ANO: 2013 PLACA: OVF-3778")</f>
      </c>
      <c r="C45" s="4" t="inlineStr">
        <is>
          <t>Não vendido</t>
        </is>
      </c>
      <c r="D45" s="4" t="inlineStr">
        <is>
          <t>185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=HYPERLINK("https://www.leilaoonline.com.br/lote/detalhe/52606", "050")</f>
      </c>
      <c r="B46" s="4" t="s">
        <f>=HYPERLINK("https://www.leilaoonline.com.br/lote/detalhe/52606", "BRU-CP56155-2020 - CAMINHÃO SCANIA / G 440, ANO 2013, PLACA: OQX-9714 - IMB. 1000731115- LOC.São Gonçalo do Rio Abaixo / MG")</f>
      </c>
      <c r="C46" s="4" t="inlineStr">
        <is>
          <t>Vendido</t>
        </is>
      </c>
      <c r="D46" s="4" t="inlineStr">
        <is>
          <t>140</t>
        </is>
      </c>
      <c r="E46" s="5" t="inlineStr">
        <is>
          <t>105.000,00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=HYPERLINK("https://www.leilaoonline.com.br/lote/detalhe/52681", "051")</f>
      </c>
      <c r="B47" s="4" t="s">
        <f>=HYPERLINK("https://www.leilaoonline.com.br/lote/detalhe/52681", "MCR-058-2020- CAMINHÃO SCANIA  10x4, 480- ANO 2014, IMB.1000023677- LOC. Corumbá/MS")</f>
      </c>
      <c r="C47" s="4" t="inlineStr">
        <is>
          <t>Não vendido</t>
        </is>
      </c>
      <c r="D47" s="4" t="inlineStr">
        <is>
          <t>79</t>
        </is>
      </c>
      <c r="E47" s="5" t="inlineStr">
        <is>
          <t>68.500,00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=HYPERLINK("https://www.leilaoonline.com.br/lote/detalhe/52683", "052")</f>
      </c>
      <c r="B48" s="4" t="s">
        <f>=HYPERLINK("https://www.leilaoonline.com.br/lote/detalhe/52683", "MCR-059-2020- CAMINHÃO SCANIA  10x4, 480- ANO 2014, IMB.1000023684- LOC.Corumbá/MS ")</f>
      </c>
      <c r="C48" s="4" t="inlineStr">
        <is>
          <t>Não vendido</t>
        </is>
      </c>
      <c r="D48" s="4" t="inlineStr">
        <is>
          <t>85</t>
        </is>
      </c>
      <c r="E48" s="5" t="inlineStr">
        <is>
          <t>73.500,00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=HYPERLINK("https://www.leilaoonline.com.br/lote/detalhe/52686", "053")</f>
      </c>
      <c r="B49" s="4" t="s">
        <f>=HYPERLINK("https://www.leilaoonline.com.br/lote/detalhe/52686", "MCR-060-2020 - CAMINHÃO SCANIA   10x4, 480- ANO 2014, IMB.1000023688-LOC.Corumbá/MS ")</f>
      </c>
      <c r="C49" s="4" t="inlineStr">
        <is>
          <t>Não vendido</t>
        </is>
      </c>
      <c r="D49" s="4" t="inlineStr">
        <is>
          <t>89</t>
        </is>
      </c>
      <c r="E49" s="5" t="inlineStr">
        <is>
          <t>42.500,00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=HYPERLINK("https://www.leilaoonline.com.br/lote/detalhe/52687", "054")</f>
      </c>
      <c r="B50" s="4" t="s">
        <f>=HYPERLINK("https://www.leilaoonline.com.br/lote/detalhe/52687", "MCR-061-2020 - CAMINHÃO  10x4, 480- ANO 2014, ANO 2011, IMB.1000025085- LOC.Corumbá/MS")</f>
      </c>
      <c r="C50" s="4" t="inlineStr">
        <is>
          <t>Não vendido</t>
        </is>
      </c>
      <c r="D50" s="4" t="inlineStr">
        <is>
          <t>119</t>
        </is>
      </c>
      <c r="E50" s="5" t="inlineStr">
        <is>
          <t>58.250,00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=HYPERLINK("https://www.leilaoonline.com.br/lote/detalhe/52689", "055")</f>
      </c>
      <c r="B51" s="4" t="s">
        <f>=HYPERLINK("https://www.leilaoonline.com.br/lote/detalhe/52689", "MCR-067-2020 - CAMINHÃO SCANIA   10x4, 480- ANO 2014, IMB. 1000023682- LOC. Corumbá/MS")</f>
      </c>
      <c r="C51" s="4" t="inlineStr">
        <is>
          <t>Não vendido</t>
        </is>
      </c>
      <c r="D51" s="4" t="inlineStr">
        <is>
          <t>74</t>
        </is>
      </c>
      <c r="E51" s="5" t="inlineStr">
        <is>
          <t>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=HYPERLINK("https://www.leilaoonline.com.br/lote/detalhe/45177", "056")</f>
      </c>
      <c r="B52" s="4" t="s">
        <f>=HYPERLINK("https://www.leilaoonline.com.br/lote/detalhe/45177", "MCR-010-2020 - Caminhão SCANIA 10X4,MOD. 470, ANO 2011, IMB.1000025306, LOC.Corumbá/MS")</f>
      </c>
      <c r="C52" s="4" t="inlineStr">
        <is>
          <t>Vendido</t>
        </is>
      </c>
      <c r="D52" s="4" t="inlineStr">
        <is>
          <t>98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=HYPERLINK("https://www.leilaoonline.com.br/lote/detalhe/52690", "057")</f>
      </c>
      <c r="B53" s="4" t="s">
        <f>=HYPERLINK("https://www.leilaoonline.com.br/lote/detalhe/52690", "MCR-068-2020- CAMINHÃO SCANIA  8x4, 400- ANO 2005, PLACA: HSE-4798 - IMB. 1000025223- LOC.Corumbá/MS ")</f>
      </c>
      <c r="C53" s="4" t="inlineStr">
        <is>
          <t>Não vendido</t>
        </is>
      </c>
      <c r="D53" s="4" t="inlineStr">
        <is>
          <t>66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=HYPERLINK("https://www.leilaoonline.com.br/lote/detalhe/45182", "058")</f>
      </c>
      <c r="B54" s="4" t="s">
        <f>=HYPERLINK("https://www.leilaoonline.com.br/lote/detalhe/45182", "MCR-011-2020 - Caminhão SCANIA 10x4, MOD. 480, ANO 2014, IMB.1000023685")</f>
      </c>
      <c r="C54" s="4" t="inlineStr">
        <is>
          <t>Não vendido</t>
        </is>
      </c>
      <c r="D54" s="4" t="inlineStr">
        <is>
          <t>142</t>
        </is>
      </c>
      <c r="E54" s="5" t="inlineStr">
        <is>
          <t>53.250,00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=HYPERLINK("https://www.leilaoonline.com.br/lote/detalhe/45185", "059")</f>
      </c>
      <c r="B55" s="4" t="s">
        <f>=HYPERLINK("https://www.leilaoonline.com.br/lote/detalhe/45185", "MCR-012-2020 - Caminhão SCANIA 10x4, MOD. 480, ANO 2014,IMB. 1000023686, Corumbá/MS")</f>
      </c>
      <c r="C55" s="4" t="inlineStr">
        <is>
          <t>Não vendido</t>
        </is>
      </c>
      <c r="D55" s="4" t="inlineStr">
        <is>
          <t>103</t>
        </is>
      </c>
      <c r="E55" s="5" t="inlineStr">
        <is>
          <t>48.000,00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=HYPERLINK("https://www.leilaoonline.com.br/lote/detalhe/52691", "060")</f>
      </c>
      <c r="B56" s="4" t="s">
        <f>=HYPERLINK("https://www.leilaoonline.com.br/lote/detalhe/52691", "MCR-069-2020- CAMINHÃO SCANIA  8x4, 400- ANO 2003, PLACA: HRY-9925 - IMB.1000025202- LOC. CORUMBA/MS")</f>
      </c>
      <c r="C56" s="4" t="inlineStr">
        <is>
          <t>Não vendido</t>
        </is>
      </c>
      <c r="D56" s="4" t="inlineStr">
        <is>
          <t>50</t>
        </is>
      </c>
      <c r="E56" s="5" t="inlineStr">
        <is>
          <t>36.750,00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=HYPERLINK("https://www.leilaoonline.com.br/lote/detalhe/45189", "061")</f>
      </c>
      <c r="B57" s="4" t="s">
        <f>=HYPERLINK("https://www.leilaoonline.com.br/lote/detalhe/45189", "MCR-013-2020 - Caminhão SCANIA 10x4, MOD. 480, ANO 2014,IMB.1000027163, LOC.Corumbá/MS")</f>
      </c>
      <c r="C57" s="4" t="inlineStr">
        <is>
          <t>Não vendido</t>
        </is>
      </c>
      <c r="D57" s="4" t="inlineStr">
        <is>
          <t>104</t>
        </is>
      </c>
      <c r="E57" s="5" t="inlineStr">
        <is>
          <t>48.250,00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=HYPERLINK("https://www.leilaoonline.com.br/lote/detalhe/45208", "062")</f>
      </c>
      <c r="B58" s="4" t="s">
        <f>=HYPERLINK("https://www.leilaoonline.com.br/lote/detalhe/45208", "MCR-014-2020 - Caminhão SCANIA 10x4, MOD. 480, ANO 2014, IMB.1000023678, LOC. Corumbá/MS")</f>
      </c>
      <c r="C58" s="4" t="inlineStr">
        <is>
          <t>Não vendido</t>
        </is>
      </c>
      <c r="D58" s="4" t="inlineStr">
        <is>
          <t>103</t>
        </is>
      </c>
      <c r="E58" s="5" t="inlineStr">
        <is>
          <t>48.250,00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=HYPERLINK("https://www.leilaoonline.com.br/lote/detalhe/45209", "063")</f>
      </c>
      <c r="B59" s="4" t="s">
        <f>=HYPERLINK("https://www.leilaoonline.com.br/lote/detalhe/45209", "MCR-015-2020 - Caminhão 10x4 SCANIA 10X4, MOD. 480, ANO 2014, IMB.1000023683,  LOC. Corumbá/MS")</f>
      </c>
      <c r="C59" s="4" t="inlineStr">
        <is>
          <t>Não vendido</t>
        </is>
      </c>
      <c r="D59" s="4" t="inlineStr">
        <is>
          <t>92</t>
        </is>
      </c>
      <c r="E59" s="5" t="inlineStr">
        <is>
          <t>47.500,00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=HYPERLINK("https://www.leilaoonline.com.br/lote/detalhe/45275", "064")</f>
      </c>
      <c r="B60" s="4" t="s">
        <f>=HYPERLINK("https://www.leilaoonline.com.br/lote/detalhe/45275", "PIC-152-2019-CAMINHÃO SCANIA GUINDAUTO P420 8X4, ANO 2008, PLACA: HDF7210, IMB.1000219149, LOC. ITABIRITO")</f>
      </c>
      <c r="C60" s="4" t="inlineStr">
        <is>
          <t>Vendido</t>
        </is>
      </c>
      <c r="D60" s="4" t="inlineStr">
        <is>
          <t>112</t>
        </is>
      </c>
      <c r="E60" s="5" t="inlineStr">
        <is>
          <t>163.000,00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=HYPERLINK("https://www.leilaoonline.com.br/lote/detalhe/45169", "065")</f>
      </c>
      <c r="B61" s="4" t="s">
        <f>=HYPERLINK("https://www.leilaoonline.com.br/lote/detalhe/45169", "MCR-007-2020 - Caminhão SCANIA 10x4, MOD. 480, ANO 2014, IMOB.1000023676, LOC. Corumbá/MS")</f>
      </c>
      <c r="C61" s="4" t="inlineStr">
        <is>
          <t>Vendido</t>
        </is>
      </c>
      <c r="D61" s="4" t="inlineStr">
        <is>
          <t>69</t>
        </is>
      </c>
      <c r="E61" s="5" t="inlineStr">
        <is>
          <t>48.500,00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=HYPERLINK("https://www.leilaoonline.com.br/lote/detalhe/45171", "066")</f>
      </c>
      <c r="B62" s="4" t="s">
        <f>=HYPERLINK("https://www.leilaoonline.com.br/lote/detalhe/45171", "MCR-008-2020 - Caminhão SCANIA 10X4,MOD. 470, ANO 2010, IMB.1000024327, LOC.Corumbá/MS")</f>
      </c>
      <c r="C62" s="4" t="inlineStr">
        <is>
          <t>Vendido</t>
        </is>
      </c>
      <c r="D62" s="4" t="inlineStr">
        <is>
          <t>61</t>
        </is>
      </c>
      <c r="E62" s="5" t="inlineStr">
        <is>
          <t>39.500,00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=HYPERLINK("https://www.leilaoonline.com.br/lote/detalhe/45173", "067")</f>
      </c>
      <c r="B63" s="4" t="s">
        <f>=HYPERLINK("https://www.leilaoonline.com.br/lote/detalhe/45173", "MCR-009-2020 - Caminhão SCANIA 10X4,MOD. 470, ANO 2011, IMB. 1000025304, LOC.Corumbá/MS ")</f>
      </c>
      <c r="C63" s="4" t="inlineStr">
        <is>
          <t>Vendido</t>
        </is>
      </c>
      <c r="D63" s="4" t="inlineStr">
        <is>
          <t>138</t>
        </is>
      </c>
      <c r="E63" s="5" t="inlineStr">
        <is>
          <t>71.250,00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=HYPERLINK("https://www.leilaoonline.com.br/lote/detalhe/52696", "073")</f>
      </c>
      <c r="B64" s="4" t="s">
        <f>=HYPERLINK("https://www.leilaoonline.com.br/lote/detalhe/52696", "MCR-071-2020- CAMINHÃO FORA DE ESTRADA ATLAS COPCO, MT436, ANO 2012,IMB.1000023379- LOC. Corumbá/MS")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=HYPERLINK("https://www.leilaoonline.com.br/lote/detalhe/45166", "074")</f>
      </c>
      <c r="B65" s="4" t="s">
        <f>=HYPERLINK("https://www.leilaoonline.com.br/lote/detalhe/45166", " MCR-005-2020 - CAMINHÃO FORA DE ESTRADA MT436 ATLAS COPCO, ANO 2012, LOC. Corumbá/MS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=HYPERLINK("https://www.leilaoonline.com.br/lote/detalhe/45309", "075")</f>
      </c>
      <c r="B66" s="4" t="s">
        <f>=HYPERLINK("https://www.leilaoonline.com.br/lote/detalhe/45309", "CKS-005-2019 - CAMINHAO FE ELETRICO BASCULANTE - Liebherr - T282C - Ano: 2013 -loc: Parauapebas - 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=HYPERLINK("https://www.leilaoonline.com.br/lote/detalhe/45310", "076")</f>
      </c>
      <c r="B67" s="4" t="s">
        <f>=HYPERLINK("https://www.leilaoonline.com.br/lote/detalhe/45310", "CKS-006-2019 - CAMINHAO FE ELETRICO BASCULANTE - Liebherr - T282C - Ano: 2013 - loc: Parauapebas - PA")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35.500,00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=HYPERLINK("https://www.leilaoonline.com.br/lote/detalhe/45308", "077")</f>
      </c>
      <c r="B68" s="4" t="s">
        <f>=HYPERLINK("https://www.leilaoonline.com.br/lote/detalhe/45308", "CKS-004-2019 - CAMINHAO FE ELETRICO BASCULANTE - Liebherr - T282B - Ano: 2009 - loc: Parauapebas - PA")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22.000,00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=HYPERLINK("https://www.leilaoonline.com.br/lote/detalhe/45307", "078")</f>
      </c>
      <c r="B69" s="4" t="s">
        <f>=HYPERLINK("https://www.leilaoonline.com.br/lote/detalhe/45307", "CKS-003-2019 - CKS-003-2019 - CAMINHAO FE ELETRICO BASCULANTE - Liebherr - T282B loc: Parauapebas - PA")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=HYPERLINK("https://www.leilaoonline.com.br/lote/detalhe/51864", "082")</f>
      </c>
      <c r="B70" s="4" t="s">
        <f>=HYPERLINK("https://www.leilaoonline.com.br/lote/detalhe/51864", "SLB-013-2020 - PERFURATRIZ ATLAS COPCO PV235 ANO: 2015")</f>
      </c>
      <c r="C70" s="4" t="inlineStr">
        <is>
          <t>Não vendido</t>
        </is>
      </c>
      <c r="D70" s="4" t="inlineStr">
        <is>
          <t>54</t>
        </is>
      </c>
      <c r="E70" s="5" t="inlineStr">
        <is>
          <t>77.000,00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=HYPERLINK("https://www.leilaoonline.com.br/lote/detalhe/45124", "083")</f>
      </c>
      <c r="B71" s="4" t="s">
        <f>=HYPERLINK("https://www.leilaoonline.com.br/lote/detalhe/45124", "ITA-027-2020 - PERFURATRIZ SANDVIK, MOD. 1190E, ANO 2009, SERIE 733169- LOC. ITABIRA/MG")</f>
      </c>
      <c r="C71" s="4" t="inlineStr">
        <is>
          <t>Não vendido</t>
        </is>
      </c>
      <c r="D71" s="4" t="inlineStr">
        <is>
          <t>16</t>
        </is>
      </c>
      <c r="E71" s="5" t="inlineStr">
        <is>
          <t>81.000,00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=HYPERLINK("https://www.leilaoonline.com.br/lote/detalhe/45121", "084")</f>
      </c>
      <c r="B72" s="4" t="s">
        <f>=HYPERLINK("https://www.leilaoonline.com.br/lote/detalhe/45121", "ITA-003-2020 - PERFURATRIZ SANDVIK, MOD. 1190E , ANO 2008, LOC. ITABIRA/MG")</f>
      </c>
      <c r="C72" s="4" t="inlineStr">
        <is>
          <t>Vendido</t>
        </is>
      </c>
      <c r="D72" s="4" t="inlineStr">
        <is>
          <t>4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=HYPERLINK("https://www.leilaoonline.com.br/lote/detalhe/52482", "087")</f>
      </c>
      <c r="B73" s="4" t="s">
        <f>=HYPERLINK("https://www.leilaoonline.com.br/lote/detalhe/52482", "082-016-2020 - Mini carregadeira Caterpillar 226B3 ANO: 2012")</f>
      </c>
      <c r="C73" s="4" t="inlineStr">
        <is>
          <t>Vendido</t>
        </is>
      </c>
      <c r="D73" s="4" t="inlineStr">
        <is>
          <t>31</t>
        </is>
      </c>
      <c r="E73" s="5" t="inlineStr">
        <is>
          <t>31.500,00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=HYPERLINK("https://www.leilaoonline.com.br/lote/detalhe/52483", "088")</f>
      </c>
      <c r="B74" s="4" t="s">
        <f>=HYPERLINK("https://www.leilaoonline.com.br/lote/detalhe/52483", "082-017-2020 - Mini carregadeira Caterpillar 226B3 ANO: 2012")</f>
      </c>
      <c r="C74" s="4" t="inlineStr">
        <is>
          <t>Vendido</t>
        </is>
      </c>
      <c r="D74" s="4" t="inlineStr">
        <is>
          <t>34</t>
        </is>
      </c>
      <c r="E74" s="5" t="inlineStr">
        <is>
          <t>33.500,00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=HYPERLINK("https://www.leilaoonline.com.br/lote/detalhe/52501", "089")</f>
      </c>
      <c r="B75" s="4" t="s">
        <f>=HYPERLINK("https://www.leilaoonline.com.br/lote/detalhe/52501", "082-022-2020 - Mini carregadeira VOLVO MC90B ANO: 2011")</f>
      </c>
      <c r="C75" s="4" t="inlineStr">
        <is>
          <t>Vendido</t>
        </is>
      </c>
      <c r="D75" s="4" t="inlineStr">
        <is>
          <t>27</t>
        </is>
      </c>
      <c r="E75" s="5" t="inlineStr">
        <is>
          <t>27.750,00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=HYPERLINK("https://www.leilaoonline.com.br/lote/detalhe/52633", "090")</f>
      </c>
      <c r="B76" s="4" t="s">
        <f>=HYPERLINK("https://www.leilaoonline.com.br/lote/detalhe/52633", "082-043-2020 - Mini carregadeira VOLVO MC90B ANO: 2011")</f>
      </c>
      <c r="C76" s="4" t="inlineStr">
        <is>
          <t>Vendido</t>
        </is>
      </c>
      <c r="D76" s="4" t="inlineStr">
        <is>
          <t>41</t>
        </is>
      </c>
      <c r="E76" s="5" t="inlineStr">
        <is>
          <t>32.500,00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=HYPERLINK("https://www.leilaoonline.com.br/lote/detalhe/53212", "095")</f>
      </c>
      <c r="B77" s="4" t="s">
        <f>=HYPERLINK("https://www.leilaoonline.com.br/lote/detalhe/53212", "082-089-2020 - PÁ Carregadeira CATERPILLAR 962H ANO: 2014")</f>
      </c>
      <c r="C77" s="4" t="inlineStr">
        <is>
          <t>Vendido</t>
        </is>
      </c>
      <c r="D77" s="4" t="inlineStr">
        <is>
          <t>56</t>
        </is>
      </c>
      <c r="E77" s="5" t="inlineStr">
        <is>
          <t>66.000,00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=HYPERLINK("https://www.leilaoonline.com.br/lote/detalhe/53214", "096")</f>
      </c>
      <c r="B78" s="4" t="s">
        <f>=HYPERLINK("https://www.leilaoonline.com.br/lote/detalhe/53214", "082-090-2020 - pá carregadeira caterpillar 962H ano:  2009")</f>
      </c>
      <c r="C78" s="4" t="inlineStr">
        <is>
          <t>Vendido</t>
        </is>
      </c>
      <c r="D78" s="4" t="inlineStr">
        <is>
          <t>22</t>
        </is>
      </c>
      <c r="E78" s="5" t="inlineStr">
        <is>
          <t>50.500,00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=HYPERLINK("https://www.leilaoonline.com.br/lote/detalhe/53220", "098")</f>
      </c>
      <c r="B79" s="4" t="s">
        <f>=HYPERLINK("https://www.leilaoonline.com.br/lote/detalhe/53220", "082-092-2020 - pá carregadeira Volvo L120F ano: 2010")</f>
      </c>
      <c r="C79" s="4" t="inlineStr">
        <is>
          <t>Vendido</t>
        </is>
      </c>
      <c r="D79" s="4" t="inlineStr">
        <is>
          <t>16</t>
        </is>
      </c>
      <c r="E79" s="5" t="inlineStr">
        <is>
          <t>81.500,00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=HYPERLINK("https://www.leilaoonline.com.br/lote/detalhe/53221", "099")</f>
      </c>
      <c r="B80" s="4" t="s">
        <f>=HYPERLINK("https://www.leilaoonline.com.br/lote/detalhe/53221", "082-093-2020 - pá carregadeira Caterpillar 962H ano: 2000")</f>
      </c>
      <c r="C80" s="4" t="inlineStr">
        <is>
          <t>Vendido</t>
        </is>
      </c>
      <c r="D80" s="4" t="inlineStr">
        <is>
          <t>3</t>
        </is>
      </c>
      <c r="E80" s="5" t="inlineStr">
        <is>
          <t>33.000,00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=HYPERLINK("https://www.leilaoonline.com.br/lote/detalhe/53222", "100")</f>
      </c>
      <c r="B81" s="4" t="s">
        <f>=HYPERLINK("https://www.leilaoonline.com.br/lote/detalhe/53222", "082-094-2020 - pá carregadeira Caterpillar 938H 160 HP L ano: 2010")</f>
      </c>
      <c r="C81" s="4" t="inlineStr">
        <is>
          <t>Vendido</t>
        </is>
      </c>
      <c r="D81" s="4" t="inlineStr">
        <is>
          <t>49</t>
        </is>
      </c>
      <c r="E81" s="5" t="inlineStr">
        <is>
          <t>82.000,00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=HYPERLINK("https://www.leilaoonline.com.br/lote/detalhe/52688", "101")</f>
      </c>
      <c r="B82" s="4" t="s">
        <f>=HYPERLINK("https://www.leilaoonline.com.br/lote/detalhe/52688", "MCR-065-2020 - TRATOR DE ESTEIRA CATERPILLAR D6, ANO 1980, IMB. 1000014992- LOC. Corumbá/MS")</f>
      </c>
      <c r="C82" s="4" t="inlineStr">
        <is>
          <t>Vendido</t>
        </is>
      </c>
      <c r="D82" s="4" t="inlineStr">
        <is>
          <t>34</t>
        </is>
      </c>
      <c r="E82" s="5" t="inlineStr">
        <is>
          <t>55.500,00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=HYPERLINK("https://www.leilaoonline.com.br/lote/detalhe/52609", "102")</f>
      </c>
      <c r="B83" s="4" t="s">
        <f>=HYPERLINK("https://www.leilaoonline.com.br/lote/detalhe/52609", "BRU-RE2710-2020 - Escavadeira LIEBHERR, R964C, ANO 2010/2011, IMB.1000578882- LOC. São Gonçalo do Rio Abaixo / MG")</f>
      </c>
      <c r="C83" s="4" t="inlineStr">
        <is>
          <t>Vendido</t>
        </is>
      </c>
      <c r="D83" s="4" t="inlineStr">
        <is>
          <t>49</t>
        </is>
      </c>
      <c r="E83" s="5" t="inlineStr">
        <is>
          <t>48.250,00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=HYPERLINK("https://www.leilaoonline.com.br/lote/detalhe/52698", "103")</f>
      </c>
      <c r="B84" s="4" t="s">
        <f>=HYPERLINK("https://www.leilaoonline.com.br/lote/detalhe/52698", "MUT-041-2020 - Escavadeira CATERPILLAR 390D - 523HP (L), ANO 2012, IMB. 1000578960- LOC.Mina da Mutuca/MG")</f>
      </c>
      <c r="C84" s="4" t="inlineStr">
        <is>
          <t>Vendido</t>
        </is>
      </c>
      <c r="D84" s="4" t="inlineStr">
        <is>
          <t>66</t>
        </is>
      </c>
      <c r="E84" s="5" t="inlineStr">
        <is>
          <t>76.000,00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=HYPERLINK("https://www.leilaoonline.com.br/lote/detalhe/52697", "104")</f>
      </c>
      <c r="B85" s="4" t="s">
        <f>=HYPERLINK("https://www.leilaoonline.com.br/lote/detalhe/52697", "MUT-040-2020 - Retroescavadeira CATERPILLAR 365CL-404HP (L), ANO 2008, IMB 1000578934- LOC.Mina da Mutuca/MG")</f>
      </c>
      <c r="C85" s="4" t="inlineStr">
        <is>
          <t>Vendido</t>
        </is>
      </c>
      <c r="D85" s="4" t="inlineStr">
        <is>
          <t>77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=HYPERLINK("https://www.leilaoonline.com.br/lote/detalhe/52626", "105")</f>
      </c>
      <c r="B86" s="4" t="s">
        <f>=HYPERLINK("https://www.leilaoonline.com.br/lote/detalhe/52626", "082-035-2020 - Carregadeira VOLVO L120C ANO: 1997")</f>
      </c>
      <c r="C86" s="4" t="inlineStr">
        <is>
          <t>Vendido</t>
        </is>
      </c>
      <c r="D86" s="4" t="inlineStr">
        <is>
          <t>52</t>
        </is>
      </c>
      <c r="E86" s="5" t="inlineStr">
        <is>
          <t>51.500,00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=HYPERLINK("https://www.leilaoonline.com.br/lote/detalhe/52631", "106")</f>
      </c>
      <c r="B87" s="4" t="s">
        <f>=HYPERLINK("https://www.leilaoonline.com.br/lote/detalhe/52631", "082-040-2020 - Carregadeira CATERPILLAR 962H ANO: 2010")</f>
      </c>
      <c r="C87" s="4" t="inlineStr">
        <is>
          <t>Vendido</t>
        </is>
      </c>
      <c r="D87" s="4" t="inlineStr">
        <is>
          <t>31</t>
        </is>
      </c>
      <c r="E87" s="5" t="inlineStr">
        <is>
          <t>56.000,00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=HYPERLINK("https://www.leilaoonline.com.br/lote/detalhe/52619", "107")</f>
      </c>
      <c r="B88" s="4" t="s">
        <f>=HYPERLINK("https://www.leilaoonline.com.br/lote/detalhe/52619", "082-032-2020 - Carregadeira CATERPILLAR MODELO: 980H 318HP ANO: 2007")</f>
      </c>
      <c r="C88" s="4" t="inlineStr">
        <is>
          <t>Não vendido</t>
        </is>
      </c>
      <c r="D88" s="4" t="inlineStr">
        <is>
          <t>33</t>
        </is>
      </c>
      <c r="E88" s="5" t="inlineStr">
        <is>
          <t>128.000,00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=HYPERLINK("https://www.leilaoonline.com.br/lote/detalhe/52502", "108")</f>
      </c>
      <c r="B89" s="4" t="s">
        <f>=HYPERLINK("https://www.leilaoonline.com.br/lote/detalhe/52502", "082-023-2020 - Trator de pneu VOLVO L120F ANO: 2010")</f>
      </c>
      <c r="C89" s="4" t="inlineStr">
        <is>
          <t>Vendido</t>
        </is>
      </c>
      <c r="D89" s="4" t="inlineStr">
        <is>
          <t>48</t>
        </is>
      </c>
      <c r="E89" s="5" t="inlineStr">
        <is>
          <t>92.000,00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=HYPERLINK("https://www.leilaoonline.com.br/lote/detalhe/52503", "109")</f>
      </c>
      <c r="B90" s="4" t="s">
        <f>=HYPERLINK("https://www.leilaoonline.com.br/lote/detalhe/52503", "082-024-2020 - ESCAVADEIRA HIDRÁULICA CATERPILLAR 312DL ANO: 2010 - Serial: JJBC00936")</f>
      </c>
      <c r="C90" s="4" t="inlineStr">
        <is>
          <t>Vendido</t>
        </is>
      </c>
      <c r="D90" s="4" t="inlineStr">
        <is>
          <t>45</t>
        </is>
      </c>
      <c r="E90" s="5" t="inlineStr">
        <is>
          <t>91.000,00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=HYPERLINK("https://www.leilaoonline.com.br/lote/detalhe/45311", "110")</f>
      </c>
      <c r="B91" s="4" t="s">
        <f>=HYPERLINK("https://www.leilaoonline.com.br/lote/detalhe/45311", "CKS-019-2019 - Trator de Esteira - KOMATSU - D47A5 - Ano: 2003 - loc Parauapebas - PA")</f>
      </c>
      <c r="C91" s="4" t="inlineStr">
        <is>
          <t>Não vendido</t>
        </is>
      </c>
      <c r="D91" s="4" t="inlineStr">
        <is>
          <t>21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=HYPERLINK("https://www.leilaoonline.com.br/lote/detalhe/45312", "111")</f>
      </c>
      <c r="B92" s="4" t="s">
        <f>=HYPERLINK("https://www.leilaoonline.com.br/lote/detalhe/45312", "CKS-020-2019 - Trator de Esteira - KOMATSU - D47A5 - Ano: 2005 - loc: Parauapebas - PA")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=HYPERLINK("https://www.leilaoonline.com.br/lote/detalhe/45313", "112")</f>
      </c>
      <c r="B93" s="4" t="s">
        <f>=HYPERLINK("https://www.leilaoonline.com.br/lote/detalhe/45313", "CKS-021-2019 - Trator de Esteira - KOMATSU - D47A5 - Ano: 2005 - loc: Parauapebas - PA")</f>
      </c>
      <c r="C93" s="4" t="inlineStr">
        <is>
          <t>Não vendido</t>
        </is>
      </c>
      <c r="D93" s="4" t="inlineStr">
        <is>
          <t>15</t>
        </is>
      </c>
      <c r="E93" s="5" t="inlineStr">
        <is>
          <t>37.000,00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=HYPERLINK("https://www.leilaoonline.com.br/lote/detalhe/51860", "113")</f>
      </c>
      <c r="B94" s="4" t="s">
        <f>=HYPERLINK("https://www.leilaoonline.com.br/lote/detalhe/51860", "PIC-163-2020 - ESCAVADEIRA LIEBHERR 964C ANO: 2012")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38.000,00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=HYPERLINK("https://www.leilaoonline.com.br/lote/detalhe/45277", "114")</f>
      </c>
      <c r="B95" s="4" t="s">
        <f>=HYPERLINK("https://www.leilaoonline.com.br/lote/detalhe/45277", "PIC-157-2019-CARREGADEIRA CATERPILLAR 938H-160HP, ANO 2008, IMB.1000579371, LOC. ITABIRITO")</f>
      </c>
      <c r="C95" s="4" t="inlineStr">
        <is>
          <t>Vendido</t>
        </is>
      </c>
      <c r="D95" s="4" t="inlineStr">
        <is>
          <t>74</t>
        </is>
      </c>
      <c r="E95" s="5" t="inlineStr">
        <is>
          <t>62.000,00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=HYPERLINK("https://www.leilaoonline.com.br/lote/detalhe/45278", "115")</f>
      </c>
      <c r="B96" s="4" t="s">
        <f>=HYPERLINK("https://www.leilaoonline.com.br/lote/detalhe/45278", "PIC-161-2019 - CARREGADEIRA CATERPILLAR 9308H-160HP, ANO 2008,IMB.1022579372, LOC. ITABIRITO")</f>
      </c>
      <c r="C96" s="4" t="inlineStr">
        <is>
          <t>Vendido</t>
        </is>
      </c>
      <c r="D96" s="4" t="inlineStr">
        <is>
          <t>66</t>
        </is>
      </c>
      <c r="E96" s="5" t="inlineStr">
        <is>
          <t>61.000,00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=HYPERLINK("https://www.leilaoonline.com.br/lote/detalhe/51861", "116")</f>
      </c>
      <c r="B97" s="4" t="s">
        <f>=HYPERLINK("https://www.leilaoonline.com.br/lote/detalhe/51861", "PIC-164-2020  - CARREGADEIRA CATERPILAR 938H ANO: 2008")</f>
      </c>
      <c r="C97" s="4" t="inlineStr">
        <is>
          <t>Vendido</t>
        </is>
      </c>
      <c r="D97" s="4" t="inlineStr">
        <is>
          <t>30</t>
        </is>
      </c>
      <c r="E97" s="5" t="inlineStr">
        <is>
          <t>62.500,00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=HYPERLINK("https://www.leilaoonline.com.br/lote/detalhe/51862", "117")</f>
      </c>
      <c r="B98" s="4" t="s">
        <f>=HYPERLINK("https://www.leilaoonline.com.br/lote/detalhe/51862", "PIC-165-2020 -  CARREGADEIRA CATERPILAR 938H ANO: 2008")</f>
      </c>
      <c r="C98" s="4" t="inlineStr">
        <is>
          <t>Vendido</t>
        </is>
      </c>
      <c r="D98" s="4" t="inlineStr">
        <is>
          <t>30</t>
        </is>
      </c>
      <c r="E98" s="5" t="inlineStr">
        <is>
          <t>65.000,00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=HYPERLINK("https://www.leilaoonline.com.br/lote/detalhe/51863", "118")</f>
      </c>
      <c r="B99" s="4" t="s">
        <f>=HYPERLINK("https://www.leilaoonline.com.br/lote/detalhe/51863", "SLB-012-2020 - ESCAVADEIRA KOMATSU PC450 ANO: 2009")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80.000,00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=HYPERLINK("https://www.leilaoonline.com.br/lote/detalhe/45314", "120")</f>
      </c>
      <c r="B100" s="4" t="s">
        <f>=HYPERLINK("https://www.leilaoonline.com.br/lote/detalhe/45314", "PIC-213-2020 - RETROESCAVADEIRA HIDRAULICA 345C CATERPILLAR, ano 2005.loc: ITABIRITO/MG")</f>
      </c>
      <c r="C100" s="4" t="inlineStr">
        <is>
          <t>Vendido</t>
        </is>
      </c>
      <c r="D100" s="4" t="inlineStr">
        <is>
          <t>45</t>
        </is>
      </c>
      <c r="E100" s="5" t="inlineStr">
        <is>
          <t>139.000,00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=HYPERLINK("https://www.leilaoonline.com.br/lote/detalhe/45117", "121")</f>
      </c>
      <c r="B101" s="4" t="s">
        <f>=HYPERLINK("https://www.leilaoonline.com.br/lote/detalhe/45117", "FAB-PM9806-2019 - CARREGADEIRA CATERPILLAR 980 H - 318HP(L), ANO 2008, LOC. OURO PRETO ")</f>
      </c>
      <c r="C101" s="4" t="inlineStr">
        <is>
          <t>Vendido</t>
        </is>
      </c>
      <c r="D101" s="4" t="inlineStr">
        <is>
          <t>110</t>
        </is>
      </c>
      <c r="E101" s="5" t="inlineStr">
        <is>
          <t>115.500,00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=HYPERLINK("https://www.leilaoonline.com.br/lote/detalhe/45122", "122")</f>
      </c>
      <c r="B102" s="4" t="s">
        <f>=HYPERLINK("https://www.leilaoonline.com.br/lote/detalhe/45122", "ITA-005-2020 - CARREGADEIRA CATERPILLAR, MOD. 988H, ANO 2008, SERIE BXY02353, LOC. ITABIRA/MG")</f>
      </c>
      <c r="C102" s="4" t="inlineStr">
        <is>
          <t>Vendido</t>
        </is>
      </c>
      <c r="D102" s="4" t="inlineStr">
        <is>
          <t>89</t>
        </is>
      </c>
      <c r="E102" s="5" t="inlineStr">
        <is>
          <t>316.000,00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=HYPERLINK("https://www.leilaoonline.com.br/lote/detalhe/45123", "123")</f>
      </c>
      <c r="B103" s="4" t="s">
        <f>=HYPERLINK("https://www.leilaoonline.com.br/lote/detalhe/45123", "ITA-022-2020 - CARREGADEIRA CATERPILLAR, MOD. 990H, ANO 2011, SERIE BWX00505, LOC. ")</f>
      </c>
      <c r="C103" s="4" t="inlineStr">
        <is>
          <t>Vendido</t>
        </is>
      </c>
      <c r="D103" s="4" t="inlineStr">
        <is>
          <t>55</t>
        </is>
      </c>
      <c r="E103" s="5" t="inlineStr">
        <is>
          <t>256.000,00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=HYPERLINK("https://www.leilaoonline.com.br/lote/detalhe/45126", "124")</f>
      </c>
      <c r="B104" s="4" t="s">
        <f>=HYPERLINK("https://www.leilaoonline.com.br/lote/detalhe/45126", "ITA-108-2019 - PA CARREGADEIRA CATERPILLAR, MOD. 988F, ANO 1996, LOC. ITABIRA/MG")</f>
      </c>
      <c r="C104" s="4" t="inlineStr">
        <is>
          <t>Vendido</t>
        </is>
      </c>
      <c r="D104" s="4" t="inlineStr">
        <is>
          <t>86</t>
        </is>
      </c>
      <c r="E104" s="5" t="inlineStr">
        <is>
          <t>177.000,00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=HYPERLINK("https://www.leilaoonline.com.br/lote/detalhe/53210", "130")</f>
      </c>
      <c r="B105" s="4" t="s">
        <f>=HYPERLINK("https://www.leilaoonline.com.br/lote/detalhe/53210", "082-088-2020 - Empilhadeira LINDE climatruck H40D-04 - ANO: 2010")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=HYPERLINK("https://www.leilaoonline.com.br/lote/detalhe/53225", "131")</f>
      </c>
      <c r="B106" s="4" t="s">
        <f>=HYPERLINK("https://www.leilaoonline.com.br/lote/detalhe/53225", "082-100-2020 - Empilhadeira JUNGHEINRICH SH51200 ano: 2010")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=HYPERLINK("https://www.leilaoonline.com.br/lote/detalhe/52607", "132")</f>
      </c>
      <c r="B107" s="4" t="s">
        <f>=HYPERLINK("https://www.leilaoonline.com.br/lote/detalhe/52607", "BRU-EMP01-2020 - Empilhadeira Móvel Hister - Brasif , IMB. 35009468- LOC. São Gonçalo do Rio Abaixo / MG")</f>
      </c>
      <c r="C107" s="4" t="inlineStr">
        <is>
          <t>Vendido</t>
        </is>
      </c>
      <c r="D107" s="4" t="inlineStr">
        <is>
          <t>31</t>
        </is>
      </c>
      <c r="E107" s="5" t="inlineStr">
        <is>
          <t>24.250,00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=HYPERLINK("https://www.leilaoonline.com.br/lote/detalhe/52669", "133")</f>
      </c>
      <c r="B108" s="4" t="s">
        <f>=HYPERLINK("https://www.leilaoonline.com.br/lote/detalhe/52669", "082-048-2020 - Empilhadeira LINDE CLIMATRUCK H40D ANO: 2010")</f>
      </c>
      <c r="C108" s="4" t="inlineStr">
        <is>
          <t>Vendido</t>
        </is>
      </c>
      <c r="D108" s="4" t="inlineStr">
        <is>
          <t>37</t>
        </is>
      </c>
      <c r="E108" s="5" t="inlineStr">
        <is>
          <t>16.000,00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=HYPERLINK("https://www.leilaoonline.com.br/lote/detalhe/52484", "134")</f>
      </c>
      <c r="B109" s="4" t="s">
        <f>=HYPERLINK("https://www.leilaoonline.com.br/lote/detalhe/52484", "082-018-2020 - Empilhadeira CLARK GPX40 ANO: 1996")</f>
      </c>
      <c r="C109" s="4" t="inlineStr">
        <is>
          <t>Vendido</t>
        </is>
      </c>
      <c r="D109" s="4" t="inlineStr">
        <is>
          <t>53</t>
        </is>
      </c>
      <c r="E109" s="5" t="inlineStr">
        <is>
          <t>40.000,00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=HYPERLINK("https://www.leilaoonline.com.br/lote/detalhe/52500", "135")</f>
      </c>
      <c r="B110" s="4" t="s">
        <f>=HYPERLINK("https://www.leilaoonline.com.br/lote/detalhe/52500", "082-021-2020 - Empilhadeira LINDE H25T ANO: 2010")</f>
      </c>
      <c r="C110" s="4" t="inlineStr">
        <is>
          <t>Vendido</t>
        </is>
      </c>
      <c r="D110" s="4" t="inlineStr">
        <is>
          <t>25</t>
        </is>
      </c>
      <c r="E110" s="5" t="inlineStr">
        <is>
          <t>16.000,00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=HYPERLINK("https://www.leilaoonline.com.br/lote/detalhe/52702", "136")</f>
      </c>
      <c r="B111" s="4" t="s">
        <f>=HYPERLINK("https://www.leilaoonline.com.br/lote/detalhe/52702", "SSG-006-2020-EP7001- EMPILHADEIRA CLARK, EMGEX25, ANO 2009, IMB.1000424516- LOC.Canaa dos Carajás/PA ")</f>
      </c>
      <c r="C111" s="4" t="inlineStr">
        <is>
          <t>Não vendido</t>
        </is>
      </c>
      <c r="D111" s="4" t="inlineStr">
        <is>
          <t>55</t>
        </is>
      </c>
      <c r="E111" s="5" t="inlineStr">
        <is>
          <t>22.250,00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=HYPERLINK("https://www.leilaoonline.com.br/lote/detalhe/52703", "137")</f>
      </c>
      <c r="B112" s="4" t="s">
        <f>=HYPERLINK("https://www.leilaoonline.com.br/lote/detalhe/52703", "SSG-007-2020-GD79- EMPILHADEIRA CLARK, C80, ANO 2012, IMB.1000423804- LOC.Canaa dos Carajás/PA  ")</f>
      </c>
      <c r="C112" s="4" t="inlineStr">
        <is>
          <t>Vendido</t>
        </is>
      </c>
      <c r="D112" s="4" t="inlineStr">
        <is>
          <t>76</t>
        </is>
      </c>
      <c r="E112" s="5" t="inlineStr">
        <is>
          <t>30.000,00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=HYPERLINK("https://www.leilaoonline.com.br/lote/detalhe/52704", "138")</f>
      </c>
      <c r="B113" s="4" t="s">
        <f>=HYPERLINK("https://www.leilaoonline.com.br/lote/detalhe/52704", "SSG-008-2020-GD78 - EMPILHADEIRA HYSTER, H250HD, ANO 2011, IMB.1000737174- LOC.Canaa dos Carajás/PA 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80.000,00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=HYPERLINK("https://www.leilaoonline.com.br/lote/detalhe/52705", "139")</f>
      </c>
      <c r="B114" s="4" t="s">
        <f>=HYPERLINK("https://www.leilaoonline.com.br/lote/detalhe/52705", "SSG-014-2020-4101GD22-  EMPILHADEIRA CLARK, CMP30L, ANO 2010, IMB.1000781260- LOC.Canaa dos Carajás/PA")</f>
      </c>
      <c r="C114" s="4" t="inlineStr">
        <is>
          <t>Vendido</t>
        </is>
      </c>
      <c r="D114" s="4" t="inlineStr">
        <is>
          <t>53</t>
        </is>
      </c>
      <c r="E114" s="5" t="inlineStr">
        <is>
          <t>26.250,00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=HYPERLINK("https://www.leilaoonline.com.br/lote/detalhe/45301", "140")</f>
      </c>
      <c r="B115" s="4" t="s">
        <f>=HYPERLINK("https://www.leilaoonline.com.br/lote/detalhe/45301", "SLS-EQ-053-2019 - EMPILHADEIRA HYSTER, MOD. H80XM, ANO 2005, IMB.1000508159, LOC. São Luís / MA")</f>
      </c>
      <c r="C115" s="4" t="inlineStr">
        <is>
          <t>Vendido</t>
        </is>
      </c>
      <c r="D115" s="4" t="inlineStr">
        <is>
          <t>59</t>
        </is>
      </c>
      <c r="E115" s="5" t="inlineStr">
        <is>
          <t>28.700,00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=HYPERLINK("https://www.leilaoonline.com.br/lote/detalhe/52799", "141")</f>
      </c>
      <c r="B116" s="4" t="s">
        <f>=HYPERLINK("https://www.leilaoonline.com.br/lote/detalhe/52799", "SLS-EQ-005-2020- 01 Paleteira elétrica Yale, MOD.MP22 AC, ANO 2011- LOC. São Luis / MA")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=HYPERLINK("https://www.leilaoonline.com.br/lote/detalhe/45404", "152")</f>
      </c>
      <c r="B117" s="4" t="s">
        <f>=HYPERLINK("https://www.leilaoonline.com.br/lote/detalhe/45404", "MARAB-04-2020 - 1 MOTOR DIESEL; MODELO: D229. 4 G.G;- LOC. MARABÁ - PA  ")</f>
      </c>
      <c r="C117" s="4" t="inlineStr">
        <is>
          <t>Vendido</t>
        </is>
      </c>
      <c r="D117" s="4" t="inlineStr">
        <is>
          <t>65</t>
        </is>
      </c>
      <c r="E117" s="5" t="inlineStr">
        <is>
          <t>15.500,00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=HYPERLINK("https://www.leilaoonline.com.br/lote/detalhe/45405", "153")</f>
      </c>
      <c r="B118" s="4" t="s">
        <f>=HYPERLINK("https://www.leilaoonline.com.br/lote/detalhe/45405", "MARAB-05-2020 - 1 MOTOR 4 CILINDROS; D229.4; 67 CV; MWM - LOC. MARABÁ - PA")</f>
      </c>
      <c r="C118" s="4" t="inlineStr">
        <is>
          <t>Não vendido</t>
        </is>
      </c>
      <c r="D118" s="4" t="inlineStr">
        <is>
          <t>83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=HYPERLINK("https://www.leilaoonline.com.br/lote/detalhe/45081", "154")</f>
      </c>
      <c r="B119" s="4" t="s">
        <f>=HYPERLINK("https://www.leilaoonline.com.br/lote/detalhe/45081", "CKS-005-2020 - 2 MOTOR DIESES  LIEBHERR veja descritivo de itens -  LOC.CARAJAS ")</f>
      </c>
      <c r="C119" s="4" t="inlineStr">
        <is>
          <t>Não vendido</t>
        </is>
      </c>
      <c r="D119" s="4" t="inlineStr">
        <is>
          <t>18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=HYPERLINK("https://www.leilaoonline.com.br/lote/detalhe/45119", "155")</f>
      </c>
      <c r="B120" s="4" t="s">
        <f>=HYPERLINK("https://www.leilaoonline.com.br/lote/detalhe/45119", "GOV-059-2020 - 2 GERADORES SINCRONO STF-355-LI10 WEG, LOC. GOVERNADOR VALADARES")</f>
      </c>
      <c r="C120" s="4" t="inlineStr">
        <is>
          <t>Vendido</t>
        </is>
      </c>
      <c r="D120" s="4" t="inlineStr">
        <is>
          <t>43</t>
        </is>
      </c>
      <c r="E120" s="5" t="inlineStr">
        <is>
          <t>16.500,00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=HYPERLINK("https://www.leilaoonline.com.br/lote/detalhe/45148", "156")</f>
      </c>
      <c r="B121" s="4" t="s">
        <f>=HYPERLINK("https://www.leilaoonline.com.br/lote/detalhe/45148", "MARAB-06-2020 - GRUPO GERADOR DE EMERGENCIA, POTENCIA 55KVA, TEN,")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4.800,00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=HYPERLINK("https://www.leilaoonline.com.br/lote/detalhe/45147", "157")</f>
      </c>
      <c r="B122" s="4" t="s">
        <f>=HYPERLINK("https://www.leilaoonline.com.br/lote/detalhe/45147", "MARAB-03-2020 - PLATAFORMA PARA TRABALHO EM ALTURA GENIE AWP-30S- LOC. MARABA/PA")</f>
      </c>
      <c r="C122" s="4" t="inlineStr">
        <is>
          <t>Não vendido</t>
        </is>
      </c>
      <c r="D122" s="4" t="inlineStr">
        <is>
          <t>14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=HYPERLINK("https://www.leilaoonline.com.br/lote/detalhe/45139", "158")</f>
      </c>
      <c r="B123" s="4" t="s">
        <f>=HYPERLINK("https://www.leilaoonline.com.br/lote/detalhe/45139", "MARAB-02-2020 - PLATAFORMA ELEVATORIA ARTICULAVEL GENIE, ANO 2011, IMOB.1000584162-MARABA/PA")</f>
      </c>
      <c r="C123" s="4" t="inlineStr">
        <is>
          <t>Não vendido</t>
        </is>
      </c>
      <c r="D123" s="4" t="inlineStr">
        <is>
          <t>67</t>
        </is>
      </c>
      <c r="E123" s="5" t="inlineStr">
        <is>
          <t>30.000,00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=HYPERLINK("https://www.leilaoonline.com.br/lote/detalhe/45138", "159")</f>
      </c>
      <c r="B124" s="4" t="s">
        <f>=HYPERLINK("https://www.leilaoonline.com.br/lote/detalhe/45138", "MARAB-01-2020 - PLATAFORMA ELEVATORIA MOTORIZADA GENIE TZ50 , ANO 2010, IMOB.1000584159-LOC. MARABÁ - PA ")</f>
      </c>
      <c r="C124" s="4" t="inlineStr">
        <is>
          <t>Não vendido</t>
        </is>
      </c>
      <c r="D124" s="4" t="inlineStr">
        <is>
          <t>73</t>
        </is>
      </c>
      <c r="E124" s="5" t="inlineStr">
        <is>
          <t>32.000,00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=HYPERLINK("https://www.leilaoonline.com.br/lote/detalhe/53236", "160")</f>
      </c>
      <c r="B125" s="4" t="s">
        <f>=HYPERLINK("https://www.leilaoonline.com.br/lote/detalhe/53236", "SSG-013-2020-PEM04 - Plataforma elevatória GENIE E GS4390 680 KG 13 MTS GENIE GS 4390 ano: 2008 - LOC: Canaa dos Carajás/PA")</f>
      </c>
      <c r="C125" s="4" t="inlineStr">
        <is>
          <t>Vendido</t>
        </is>
      </c>
      <c r="D125" s="4" t="inlineStr">
        <is>
          <t>74</t>
        </is>
      </c>
      <c r="E125" s="5" t="inlineStr">
        <is>
          <t>31.250,00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=HYPERLINK("https://www.leilaoonline.com.br/lote/detalhe/45076", "161")</f>
      </c>
      <c r="B126" s="4" t="s">
        <f>=HYPERLINK("https://www.leilaoonline.com.br/lote/detalhe/45076", "BRU-PL03-2020 - PLATAFORMA ELEVATORIA JLG 4394, IMOB. 1000817014-LOC. São Gonçalo do Rio Abaixo / MG")</f>
      </c>
      <c r="C126" s="4" t="inlineStr">
        <is>
          <t>Vendido</t>
        </is>
      </c>
      <c r="D126" s="4" t="inlineStr">
        <is>
          <t>137</t>
        </is>
      </c>
      <c r="E126" s="5" t="inlineStr">
        <is>
          <t>89.000,00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=HYPERLINK("https://www.leilaoonline.com.br/lote/detalhe/45075", "162")</f>
      </c>
      <c r="B127" s="4" t="s">
        <f>=HYPERLINK("https://www.leilaoonline.com.br/lote/detalhe/45075", "BRU-PL01-2020 - PLATAFORMA ELEVATÓRIA  Solaris 1350SJP, IMOB. 1000817013-LOC. São Gonçalo do Rio Abaixo / MG")</f>
      </c>
      <c r="C127" s="4" t="inlineStr">
        <is>
          <t>Vendido</t>
        </is>
      </c>
      <c r="D127" s="4" t="inlineStr">
        <is>
          <t>177</t>
        </is>
      </c>
      <c r="E127" s="5" t="inlineStr">
        <is>
          <t>421.000,00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=HYPERLINK("https://www.leilaoonline.com.br/lote/detalhe/45125", "165")</f>
      </c>
      <c r="B128" s="4" t="s">
        <f>=HYPERLINK("https://www.leilaoonline.com.br/lote/detalhe/45125", "ITA-030-2020 - GUINDASTE HIDRAUGUINCHO, MOD. HG 20.000 LH, ANO 2003, SERIE SPHOHG116000- LOC. ITABIRA/MG")</f>
      </c>
      <c r="C128" s="4" t="inlineStr">
        <is>
          <t>Vendido</t>
        </is>
      </c>
      <c r="D128" s="4" t="inlineStr">
        <is>
          <t>104</t>
        </is>
      </c>
      <c r="E128" s="5" t="inlineStr">
        <is>
          <t>35.000,00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=HYPERLINK("https://www.leilaoonline.com.br/lote/detalhe/45299", "166")</f>
      </c>
      <c r="B129" s="4" t="s">
        <f>=HYPERLINK("https://www.leilaoonline.com.br/lote/detalhe/45299", "SLS-EQ-046-2019 - GUINDASTE Whiting Corp, MOD. 50T-MB-MX-212/001, LOC..SÃO LUÍS / MA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=HYPERLINK("https://www.leilaoonline.com.br/lote/detalhe/45298", "167")</f>
      </c>
      <c r="B130" s="4" t="s">
        <f>=HYPERLINK("https://www.leilaoonline.com.br/lote/detalhe/45298", "SLS-EQ-045-2019 - Guindaste Whiting Corp, MOD.50T-MB-MX-212/001, LOC. .SÃO LUÍS / MA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=HYPERLINK("https://www.leilaoonline.com.br/lote/detalhe/52126", "168")</f>
      </c>
      <c r="B131" s="4" t="s">
        <f>=HYPERLINK("https://www.leilaoonline.com.br/lote/detalhe/52126", "SLS-MRO-020-2020- 09 REDUTORES E VARIADORES VELOCIDADE- VEJA DESCRITIVO DE ITENS ")</f>
      </c>
      <c r="C131" s="4" t="inlineStr">
        <is>
          <t>Vendido</t>
        </is>
      </c>
      <c r="D131" s="4" t="inlineStr">
        <is>
          <t>149</t>
        </is>
      </c>
      <c r="E131" s="5" t="inlineStr">
        <is>
          <t>63.250,00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=HYPERLINK("https://www.leilaoonline.com.br/lote/detalhe/52123", "169")</f>
      </c>
      <c r="B132" s="4" t="s">
        <f>=HYPERLINK("https://www.leilaoonline.com.br/lote/detalhe/52123", "SLS-MRO-024-2020 - 09 ITENS, REDUTOR, MOTORES DIVERSOS - VEJA DESCRITIVO DE ITENS ")</f>
      </c>
      <c r="C132" s="4" t="inlineStr">
        <is>
          <t>Vendido</t>
        </is>
      </c>
      <c r="D132" s="4" t="inlineStr">
        <is>
          <t>189</t>
        </is>
      </c>
      <c r="E132" s="5" t="inlineStr">
        <is>
          <t>70.400,00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=HYPERLINK("https://www.leilaoonline.com.br/lote/detalhe/53227", "170")</f>
      </c>
      <c r="B133" s="4" t="s">
        <f>=HYPERLINK("https://www.leilaoonline.com.br/lote/detalhe/53227", "SSG-009-2020-IL27 - Torre de iluminação Atlas Copco QLTM2 ano: 2014 - Loc: Canaa dos Carajás/PA")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3.750,00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=HYPERLINK("https://www.leilaoonline.com.br/lote/detalhe/53228", "171")</f>
      </c>
      <c r="B134" s="4" t="s">
        <f>=HYPERLINK("https://www.leilaoonline.com.br/lote/detalhe/53228", "SSG-010-2020-IL24 -  Torre de iluminação Atlas Copco QLTM20YDUC ano: 2014 - Loc. Canaa dos Carajás/PA")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3.700,00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=HYPERLINK("https://www.leilaoonline.com.br/lote/detalhe/52804", "172")</f>
      </c>
      <c r="B135" s="4" t="s">
        <f>=HYPERLINK("https://www.leilaoonline.com.br/lote/detalhe/52804", "SLS-EQ-001-2020- 01 LAVADORA KARCHER, MOD. B 150R, ANO 2017, LOC.São Luis / MA")</f>
      </c>
      <c r="C135" s="4" t="inlineStr">
        <is>
          <t>Não vendido</t>
        </is>
      </c>
      <c r="D135" s="4" t="inlineStr">
        <is>
          <t>8</t>
        </is>
      </c>
      <c r="E135" s="5" t="inlineStr">
        <is>
          <t>1.800,00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=HYPERLINK("https://www.leilaoonline.com.br/lote/detalhe/45079", "175")</f>
      </c>
      <c r="B136" s="4" t="s">
        <f>=HYPERLINK("https://www.leilaoonline.com.br/lote/detalhe/45079", "CKS-004-2020 - 02 TRANSFORMADORES FORCA SIEMENS 15000KVA SE 1370- LOC. CARAJAS ")</f>
      </c>
      <c r="C136" s="4" t="inlineStr">
        <is>
          <t>Não vendido</t>
        </is>
      </c>
      <c r="D136" s="4" t="inlineStr">
        <is>
          <t>167</t>
        </is>
      </c>
      <c r="E136" s="5" t="inlineStr">
        <is>
          <t>180.750,00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=HYPERLINK("https://www.leilaoonline.com.br/lote/detalhe/52699", "176")</f>
      </c>
      <c r="B137" s="4" t="s">
        <f>=HYPERLINK("https://www.leilaoonline.com.br/lote/detalhe/52699", "OIA-023-2020- 06 TRANSFORMADORES TRIFASICOS DIVERSOS, VEJA DESCRITIVO DE ITENS - LOC.Ourilândia do Norte / Pará ")</f>
      </c>
      <c r="C137" s="4" t="inlineStr">
        <is>
          <t>Vendido</t>
        </is>
      </c>
      <c r="D137" s="4" t="inlineStr">
        <is>
          <t>114</t>
        </is>
      </c>
      <c r="E137" s="5" t="inlineStr">
        <is>
          <t>126.000,00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=HYPERLINK("https://www.leilaoonline.com.br/lote/detalhe/52122", "177")</f>
      </c>
      <c r="B138" s="4" t="s">
        <f>=HYPERLINK("https://www.leilaoonline.com.br/lote/detalhe/52122", "SLS-MRO-025-2020 - 09 ITENS, MOTORES DIVERSOS - VEJA DESCRITIVO DE ITENS ")</f>
      </c>
      <c r="C138" s="4" t="inlineStr">
        <is>
          <t>Vendido</t>
        </is>
      </c>
      <c r="D138" s="4" t="inlineStr">
        <is>
          <t>149</t>
        </is>
      </c>
      <c r="E138" s="5" t="inlineStr">
        <is>
          <t>40.950,00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=HYPERLINK("https://www.leilaoonline.com.br/lote/detalhe/45068", "178")</f>
      </c>
      <c r="B139" s="4" t="s">
        <f>=HYPERLINK("https://www.leilaoonline.com.br/lote/detalhe/45068", "AGLP-007-2020-BASCULA CAMINHAO FORA DE ESTRADA 777 CA5608, LOC. Rio Piracicaba / MG")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=HYPERLINK("https://www.leilaoonline.com.br/lote/detalhe/45067", "179")</f>
      </c>
      <c r="B140" s="4" t="s">
        <f>=HYPERLINK("https://www.leilaoonline.com.br/lote/detalhe/45067", "ACD-0016-2019 - CARRETA COM FUEIROS GRUA FLORESTAL SR/NOMA SR3E27 RT CG, ANO 2000, LOC. Açailândia-MA")</f>
      </c>
      <c r="C140" s="4" t="inlineStr">
        <is>
          <t>Não vendido</t>
        </is>
      </c>
      <c r="D140" s="4" t="inlineStr">
        <is>
          <t>26</t>
        </is>
      </c>
      <c r="E140" s="5" t="inlineStr">
        <is>
          <t>14.500,00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=HYPERLINK("https://www.leilaoonline.com.br/lote/detalhe/45097", "180")</f>
      </c>
      <c r="B141" s="4" t="s">
        <f>=HYPERLINK("https://www.leilaoonline.com.br/lote/detalhe/45097", "BRU-107-2020 - BAÚ SERVIÇO DE EMERGÊNCIA - LOC. São Gonçalo do Rio Abaixo/ MG")</f>
      </c>
      <c r="C141" s="4" t="inlineStr">
        <is>
          <t>Não vendido</t>
        </is>
      </c>
      <c r="D141" s="4" t="inlineStr">
        <is>
          <t>30</t>
        </is>
      </c>
      <c r="E141" s="5" t="inlineStr">
        <is>
          <t>4.800,00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=HYPERLINK("https://www.leilaoonline.com.br/lote/detalhe/45080", "181")</f>
      </c>
      <c r="B142" s="4" t="s">
        <f>=HYPERLINK("https://www.leilaoonline.com.br/lote/detalhe/45080", "BRU-106-2020 - BAÚ SERVIÇO DE EMERGÊNCIA - LOC. São Gonçalo do Rio Abaixo / MG")</f>
      </c>
      <c r="C142" s="4" t="inlineStr">
        <is>
          <t>Não vendido</t>
        </is>
      </c>
      <c r="D142" s="4" t="inlineStr">
        <is>
          <t>21</t>
        </is>
      </c>
      <c r="E142" s="5" t="inlineStr">
        <is>
          <t>3.300,00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=HYPERLINK("https://www.leilaoonline.com.br/lote/detalhe/45098", "182")</f>
      </c>
      <c r="B143" s="4" t="s">
        <f>=HYPERLINK("https://www.leilaoonline.com.br/lote/detalhe/45098", "BRU-108-2020 -  BAÚ SERVIÇO DE EMERGÊNCIA  - LOC. São Gonçalo do Rio Abaixo / MG")</f>
      </c>
      <c r="C143" s="4" t="inlineStr">
        <is>
          <t>Não vendido</t>
        </is>
      </c>
      <c r="D143" s="4" t="inlineStr">
        <is>
          <t>31</t>
        </is>
      </c>
      <c r="E143" s="5" t="inlineStr">
        <is>
          <t>4.800,00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=HYPERLINK("https://www.leilaoonline.com.br/lote/detalhe/45070", "183")</f>
      </c>
      <c r="B144" s="4" t="s">
        <f>=HYPERLINK("https://www.leilaoonline.com.br/lote/detalhe/45070", "AGLP-010-2020 - TANQUE DE METAL PARA ÁGUA , LOC. RIO PIRACICABA / MG")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=HYPERLINK("https://www.leilaoonline.com.br/lote/detalhe/45069", "184")</f>
      </c>
      <c r="B145" s="4" t="s">
        <f>=HYPERLINK("https://www.leilaoonline.com.br/lote/detalhe/45069", "AGLP-009-2020 - TANQUE METÁLICO DE ÁGUA , LOC. RIO PIRACICABA / MG ")</f>
      </c>
      <c r="C145" s="4" t="inlineStr">
        <is>
          <t>Não vendido</t>
        </is>
      </c>
      <c r="D145" s="4" t="inlineStr">
        <is>
          <t>36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=HYPERLINK("https://www.leilaoonline.com.br/lote/detalhe/45071", "185")</f>
      </c>
      <c r="B146" s="4" t="s">
        <f>=HYPERLINK("https://www.leilaoonline.com.br/lote/detalhe/45071", "BRU-105-2020- TANQUE DE AGUA, LOC. São Gonçalo do Rio Abaixo/MG")</f>
      </c>
      <c r="C146" s="4" t="inlineStr">
        <is>
          <t>Vendido</t>
        </is>
      </c>
      <c r="D146" s="4" t="inlineStr">
        <is>
          <t>62</t>
        </is>
      </c>
      <c r="E146" s="5" t="inlineStr">
        <is>
          <t>15.750,00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=HYPERLINK("https://www.leilaoonline.com.br/lote/detalhe/52675", "229")</f>
      </c>
      <c r="B147" s="4" t="s">
        <f>=HYPERLINK("https://www.leilaoonline.com.br/lote/detalhe/52675", "MARAB-030-2020 -CONTAINER METALICO, APRESENTA AVARIAS- LOC. MARABA/PA")</f>
      </c>
      <c r="C147" s="4" t="inlineStr">
        <is>
          <t>Não vendido</t>
        </is>
      </c>
      <c r="D147" s="4" t="inlineStr">
        <is>
          <t>4</t>
        </is>
      </c>
      <c r="E147" s="5" t="inlineStr">
        <is>
          <t>1.750,00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=HYPERLINK("https://www.leilaoonline.com.br/lote/detalhe/52677", "230")</f>
      </c>
      <c r="B148" s="4" t="s">
        <f>=HYPERLINK("https://www.leilaoonline.com.br/lote/detalhe/52677", "MARAB-031-2020-CONTAINER METALICO, APRESENTA AVARIAS- LOC. MARABA/PA")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=HYPERLINK("https://www.leilaoonline.com.br/lote/detalhe/52679", "231")</f>
      </c>
      <c r="B149" s="4" t="s">
        <f>=HYPERLINK("https://www.leilaoonline.com.br/lote/detalhe/52679", "MARAB-032-2020-CONTAINER METALICO, APRESENTA AVARIAS- LOC. MARABA/PA")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=HYPERLINK("https://www.leilaoonline.com.br/lote/detalhe/52700", "232")</f>
      </c>
      <c r="B150" s="4" t="s">
        <f>=HYPERLINK("https://www.leilaoonline.com.br/lote/detalhe/52700", "SLS-EQ-004-2020- Container Cougnaud, MOD. 2300, ANO 2001, IMB. 1000528619-LOC. São Luis / MA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=HYPERLINK("https://www.leilaoonline.com.br/lote/detalhe/52611", "233")</f>
      </c>
      <c r="B151" s="4" t="s">
        <f>=HYPERLINK("https://www.leilaoonline.com.br/lote/detalhe/52611", "MARAB-013-2020- CONTAINER METALICO, APRESENTA AVARIAS. , LOC. MARABÁ - PA ")</f>
      </c>
      <c r="C151" s="4" t="inlineStr">
        <is>
          <t>Não vendido</t>
        </is>
      </c>
      <c r="D151" s="4" t="inlineStr">
        <is>
          <t>3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=HYPERLINK("https://www.leilaoonline.com.br/lote/detalhe/52612", "234")</f>
      </c>
      <c r="B152" s="4" t="s">
        <f>=HYPERLINK("https://www.leilaoonline.com.br/lote/detalhe/52612", "MARAB-014-2020 - CONTAINER METALICO, APRESENTA AVARIAS., LOC. MARABÁ - PA")</f>
      </c>
      <c r="C152" s="4" t="inlineStr">
        <is>
          <t>Não vendido</t>
        </is>
      </c>
      <c r="D152" s="4" t="inlineStr">
        <is>
          <t>3</t>
        </is>
      </c>
      <c r="E152" s="5" t="inlineStr">
        <is>
          <t>1.500,00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=HYPERLINK("https://www.leilaoonline.com.br/lote/detalhe/52613", "235")</f>
      </c>
      <c r="B153" s="4" t="s">
        <f>=HYPERLINK("https://www.leilaoonline.com.br/lote/detalhe/52613", "MARAB-015-2020- CONTAINER METALICO, APRESENTA AVARIAS.- LOC.MARABÁ - PA 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=HYPERLINK("https://www.leilaoonline.com.br/lote/detalhe/52618", "236")</f>
      </c>
      <c r="B154" s="4" t="s">
        <f>=HYPERLINK("https://www.leilaoonline.com.br/lote/detalhe/52618", "MARAB-018-2020 -CONTAINER METALICO, APRESENTA AVARIAS- LOC. MARABÁ - PA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=HYPERLINK("https://www.leilaoonline.com.br/lote/detalhe/52616", "237")</f>
      </c>
      <c r="B155" s="4" t="s">
        <f>=HYPERLINK("https://www.leilaoonline.com.br/lote/detalhe/52616", "MARAB-017-2020- CONTAINER METALICO, APRESENTA AVARIAS-LOC. MARABÁ - PA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=HYPERLINK("https://www.leilaoonline.com.br/lote/detalhe/52614", "238")</f>
      </c>
      <c r="B156" s="4" t="s">
        <f>=HYPERLINK("https://www.leilaoonline.com.br/lote/detalhe/52614", "MARAB-016-2020 - CONTAINER METALICO, APRESENTA AVARIAS- LOC. MARABÁ - PA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=HYPERLINK("https://www.leilaoonline.com.br/lote/detalhe/52620", "239")</f>
      </c>
      <c r="B157" s="4" t="s">
        <f>=HYPERLINK("https://www.leilaoonline.com.br/lote/detalhe/52620", "MARAB-019-2020- CONTAINER METALICO, APRESENTA AVARIAS.- LOC. MARABA/PA")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=HYPERLINK("https://www.leilaoonline.com.br/lote/detalhe/52622", "240")</f>
      </c>
      <c r="B158" s="4" t="s">
        <f>=HYPERLINK("https://www.leilaoonline.com.br/lote/detalhe/52622", "MARAB-020-2020 - CONTAINER METALICO, APRESENTA AVARIAS.-  LOC. MARABA/PA")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=HYPERLINK("https://www.leilaoonline.com.br/lote/detalhe/45210", "241")</f>
      </c>
      <c r="B159" s="4" t="s">
        <f>=HYPERLINK("https://www.leilaoonline.com.br/lote/detalhe/45210", "OIA-011-2020 - 01 Container 12 mts por 2 mts de altura, LOC. Ourilândia do Norte - PA")</f>
      </c>
      <c r="C159" s="4" t="inlineStr">
        <is>
          <t>Vendido</t>
        </is>
      </c>
      <c r="D159" s="4" t="inlineStr">
        <is>
          <t>14</t>
        </is>
      </c>
      <c r="E159" s="5" t="inlineStr">
        <is>
          <t>3.200,00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=HYPERLINK("https://www.leilaoonline.com.br/lote/detalhe/45211", "242")</f>
      </c>
      <c r="B160" s="4" t="s">
        <f>=HYPERLINK("https://www.leilaoonline.com.br/lote/detalhe/45211", "OIA-012-2020- 01 Container 12 mts por 2 mts de altura, LOC. Ourilândia do Norte - PA")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4.700,00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=HYPERLINK("https://www.leilaoonline.com.br/lote/detalhe/45213", "243")</f>
      </c>
      <c r="B161" s="4" t="s">
        <f>=HYPERLINK("https://www.leilaoonline.com.br/lote/detalhe/45213", "OIA-013-2020 -01 Container 12 mts por 2 mts de altura, LOC. Ourilândia do Norte - PA")</f>
      </c>
      <c r="C161" s="4" t="inlineStr">
        <is>
          <t>Vendido</t>
        </is>
      </c>
      <c r="D161" s="4" t="inlineStr">
        <is>
          <t>24</t>
        </is>
      </c>
      <c r="E161" s="5" t="inlineStr">
        <is>
          <t>4.700,00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=HYPERLINK("https://www.leilaoonline.com.br/lote/detalhe/45214", "244")</f>
      </c>
      <c r="B162" s="4" t="s">
        <f>=HYPERLINK("https://www.leilaoonline.com.br/lote/detalhe/45214", "OIA-014-2020- 01 Container 12 mts por 2 mts de altura, LOC. Ourilândia do Norte - PA")</f>
      </c>
      <c r="C162" s="4" t="inlineStr">
        <is>
          <t>Vendido</t>
        </is>
      </c>
      <c r="D162" s="4" t="inlineStr">
        <is>
          <t>17</t>
        </is>
      </c>
      <c r="E162" s="5" t="inlineStr">
        <is>
          <t>3.650,00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=HYPERLINK("https://www.leilaoonline.com.br/lote/detalhe/52624", "245")</f>
      </c>
      <c r="B163" s="4" t="s">
        <f>=HYPERLINK("https://www.leilaoonline.com.br/lote/detalhe/52624", "MARAB-021-2020 - CONTAINER METALICO, APRESENTA AVARIAS.- LOC. MARABA/PA")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=HYPERLINK("https://www.leilaoonline.com.br/lote/detalhe/52625", "246")</f>
      </c>
      <c r="B164" s="4" t="s">
        <f>=HYPERLINK("https://www.leilaoonline.com.br/lote/detalhe/52625", "MARAB-022-2020 - CONTAINER METALICO, APRESENTA AVARIAS.- LOC. MARABA/PA")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=HYPERLINK("https://www.leilaoonline.com.br/lote/detalhe/52627", "247")</f>
      </c>
      <c r="B165" s="4" t="s">
        <f>=HYPERLINK("https://www.leilaoonline.com.br/lote/detalhe/52627", "MARAB-023-2020- CONTAINER METALICO, APRESENTA AVARIAS- LOC. MARABA/PA")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=HYPERLINK("https://www.leilaoonline.com.br/lote/detalhe/52628", "248")</f>
      </c>
      <c r="B166" s="4" t="s">
        <f>=HYPERLINK("https://www.leilaoonline.com.br/lote/detalhe/52628", "MARAB-024-2020-CONTAINER METALICO, APRESENTA AVARIAS- LOC. MARABA/PA")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=HYPERLINK("https://www.leilaoonline.com.br/lote/detalhe/52630", "249")</f>
      </c>
      <c r="B167" s="4" t="s">
        <f>=HYPERLINK("https://www.leilaoonline.com.br/lote/detalhe/52630", "MARAB-025-2020- CONTAINER METALICO, APRESENTA AVARIAS- LOC. MARABA/PA")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=HYPERLINK("https://www.leilaoonline.com.br/lote/detalhe/45077", "250")</f>
      </c>
      <c r="B168" s="4" t="s">
        <f>=HYPERLINK("https://www.leilaoonline.com.br/lote/detalhe/45077", "CKS-003-2020 - ANALISADOR GRANULOMETRICO DE PRECISAO POR IMAGEM SP-CPIT-02 L.CARAJÁS")</f>
      </c>
      <c r="C168" s="4" t="inlineStr">
        <is>
          <t>Não vendido</t>
        </is>
      </c>
      <c r="D168" s="4" t="inlineStr">
        <is>
          <t>86</t>
        </is>
      </c>
      <c r="E168" s="5" t="inlineStr">
        <is>
          <t>23.400,00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=HYPERLINK("https://www.leilaoonline.com.br/lote/detalhe/52670", "251")</f>
      </c>
      <c r="B169" s="4" t="s">
        <f>=HYPERLINK("https://www.leilaoonline.com.br/lote/detalhe/52670", "MARAB-027-2020-CONTAINER METALICO, APRESENTA AVARIAS- LOC. MARABA/PA")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=HYPERLINK("https://www.leilaoonline.com.br/lote/detalhe/52632", "252")</f>
      </c>
      <c r="B170" s="4" t="s">
        <f>=HYPERLINK("https://www.leilaoonline.com.br/lote/detalhe/52632", "MARAB-026-2020-CONTAINER METALICO, APRESENTA AVARIAS- LOC. MARABA/PA")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=HYPERLINK("https://www.leilaoonline.com.br/lote/detalhe/52672", "253")</f>
      </c>
      <c r="B171" s="4" t="s">
        <f>=HYPERLINK("https://www.leilaoonline.com.br/lote/detalhe/52672", "MARAB-028-2020- CONTAINER METALICO, APRESENTA AVARIAS- LOC. MARABA/PA")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=HYPERLINK("https://www.leilaoonline.com.br/lote/detalhe/52674", "254")</f>
      </c>
      <c r="B172" s="4" t="s">
        <f>=HYPERLINK("https://www.leilaoonline.com.br/lote/detalhe/52674", "MARAB-029-2020-CONTAINER METALICO, APRESENTA AVARIAS- LOC. MARABA/PA")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=HYPERLINK("https://www.leilaoonline.com.br/lote/detalhe/52783", "255")</f>
      </c>
      <c r="B173" s="4" t="s">
        <f>=HYPERLINK("https://www.leilaoonline.com.br/lote/detalhe/52783", "082-047-2020 - TORNO NARDINI MOD. BANCADA GIRATORIO MARC/FAB CICONCORT IN 650 ANO: 2015")</f>
      </c>
      <c r="C173" s="4" t="inlineStr">
        <is>
          <t>Vendido</t>
        </is>
      </c>
      <c r="D173" s="4" t="inlineStr">
        <is>
          <t>30</t>
        </is>
      </c>
      <c r="E173" s="5" t="inlineStr">
        <is>
          <t>22.000,00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=HYPERLINK("https://www.leilaoonline.com.br/lote/detalhe/52786", "256")</f>
      </c>
      <c r="B174" s="4" t="s">
        <f>=HYPERLINK("https://www.leilaoonline.com.br/lote/detalhe/52786", "082-067-2020 - TORNO NARDINI UNIVERSAL DE BARRAMENTO HORIZONTAL, MODELO ND325 ANO: 2010")</f>
      </c>
      <c r="C174" s="4" t="inlineStr">
        <is>
          <t>Não vendido</t>
        </is>
      </c>
      <c r="D174" s="4" t="inlineStr">
        <is>
          <t>28</t>
        </is>
      </c>
      <c r="E174" s="5" t="inlineStr">
        <is>
          <t>20.750,00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=HYPERLINK("https://www.leilaoonline.com.br/lote/detalhe/45300", "258")</f>
      </c>
      <c r="B175" s="4" t="s">
        <f>=HYPERLINK("https://www.leilaoonline.com.br/lote/detalhe/45300", "SLS-EQ-050-2019 - TORNO HEGENSCHEIDT, MOD. 165 HP, ANO 1990, IMB. 1000612317, LOC. São luís / MA")</f>
      </c>
      <c r="C175" s="4" t="inlineStr">
        <is>
          <t>Vendido</t>
        </is>
      </c>
      <c r="D175" s="4" t="inlineStr">
        <is>
          <t>122</t>
        </is>
      </c>
      <c r="E175" s="5" t="inlineStr">
        <is>
          <t>75.000,00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=HYPERLINK("https://www.leilaoonline.com.br/lote/detalhe/53226", "259")</f>
      </c>
      <c r="B176" s="4" t="s">
        <f>=HYPERLINK("https://www.leilaoonline.com.br/lote/detalhe/53226", "MUT-MBR-056-2020 - 1 TORNO NARDINO HD1000")</f>
      </c>
      <c r="C176" s="4" t="inlineStr">
        <is>
          <t>Vendido</t>
        </is>
      </c>
      <c r="D176" s="4" t="inlineStr">
        <is>
          <t>97</t>
        </is>
      </c>
      <c r="E176" s="5" t="inlineStr">
        <is>
          <t>84.500,00</t>
        </is>
      </c>
      <c r="F176" s="4" t="inlineStr">
        <is>
          <t>1500.00</t>
        </is>
      </c>
    </row>
    <row collapsed="false" customFormat="false" customHeight="false" hidden="false" ht="12.1" outlineLevel="0" r="177">
      <c r="A177" s="5" t="s">
        <f>=HYPERLINK("https://www.leilaoonline.com.br/lote/detalhe/52787", "262")</f>
      </c>
      <c r="B177" s="4" t="s">
        <f>=HYPERLINK("https://www.leilaoonline.com.br/lote/detalhe/52787", "082-068-2020 - plaina fresadora CLEVER UNIVERSAL ANO: 2011")</f>
      </c>
      <c r="C177" s="4" t="inlineStr">
        <is>
          <t>Não vendido</t>
        </is>
      </c>
      <c r="D177" s="4" t="inlineStr">
        <is>
          <t>28</t>
        </is>
      </c>
      <c r="E177" s="5" t="inlineStr">
        <is>
          <t>12.750,00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=HYPERLINK("https://www.leilaoonline.com.br/lote/detalhe/52788", "263")</f>
      </c>
      <c r="B178" s="4" t="s">
        <f>=HYPERLINK("https://www.leilaoonline.com.br/lote/detalhe/52788", "082-074-2020 - Esmerilhadeira Esmeril coluna 1HP JAWO M.E.B - ANO: 1978")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950,00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=HYPERLINK("https://www.leilaoonline.com.br/lote/detalhe/52801", "264")</f>
      </c>
      <c r="B179" s="4" t="s">
        <f>=HYPERLINK("https://www.leilaoonline.com.br/lote/detalhe/52801", "SLS-EQ-003-2020- 01 GUINDASTE MARCON, MOD. MGH-2TPP, LOC. São Luis / MA")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950,00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=HYPERLINK("https://www.leilaoonline.com.br/lote/detalhe/52758", "265")</f>
      </c>
      <c r="B180" s="4" t="s">
        <f>=HYPERLINK("https://www.leilaoonline.com.br/lote/detalhe/52758", "082-013-2020 - Fresadora Gorton Machine Corporation ANO: 1976")</f>
      </c>
      <c r="C180" s="4" t="inlineStr">
        <is>
          <t>Não vendido</t>
        </is>
      </c>
      <c r="D180" s="4" t="inlineStr">
        <is>
          <t>7</t>
        </is>
      </c>
      <c r="E180" s="5" t="inlineStr">
        <is>
          <t>4.000,00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=HYPERLINK("https://www.leilaoonline.com.br/lote/detalhe/52759", "266")</f>
      </c>
      <c r="B181" s="4" t="s">
        <f>=HYPERLINK("https://www.leilaoonline.com.br/lote/detalhe/52759", "082-014-2020 - Esmerilhadeira JAWO Moto Esmeril Coluna 7,5CV ANO: 2009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=HYPERLINK("https://www.leilaoonline.com.br/lote/detalhe/52760", "267")</f>
      </c>
      <c r="B182" s="4" t="s">
        <f>=HYPERLINK("https://www.leilaoonline.com.br/lote/detalhe/52760", "082-015-2020 - Serra Franho S/500 ANO: 1976")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=HYPERLINK("https://www.leilaoonline.com.br/lote/detalhe/52768", "268")</f>
      </c>
      <c r="B183" s="4" t="s">
        <f>=HYPERLINK("https://www.leilaoonline.com.br/lote/detalhe/52768", "082-038-2020 - furadeira de bancada SCHUTZ FBS 16P ANO 2016")</f>
      </c>
      <c r="C183" s="4" t="inlineStr">
        <is>
          <t>Não vendido</t>
        </is>
      </c>
      <c r="D183" s="4" t="inlineStr">
        <is>
          <t>5</t>
        </is>
      </c>
      <c r="E183" s="5" t="inlineStr">
        <is>
          <t>1.100,00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=HYPERLINK("https://www.leilaoonline.com.br/lote/detalhe/52769", "269")</f>
      </c>
      <c r="B184" s="4" t="s">
        <f>=HYPERLINK("https://www.leilaoonline.com.br/lote/detalhe/52769", "082-039-2020 - policorte mod bancada BOSCH ANO: 2016")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750,00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=HYPERLINK("https://www.leilaoonline.com.br/lote/detalhe/52770", "270")</f>
      </c>
      <c r="B185" s="4" t="s">
        <f>=HYPERLINK("https://www.leilaoonline.com.br/lote/detalhe/52770", "082-041-2020 - máquina afiadora de brocas UNIVERSAL DRILL GRINDER 80N ANO: 2011")</f>
      </c>
      <c r="C185" s="4" t="inlineStr">
        <is>
          <t>Não vendido</t>
        </is>
      </c>
      <c r="D185" s="4" t="inlineStr">
        <is>
          <t>9</t>
        </is>
      </c>
      <c r="E185" s="5" t="inlineStr">
        <is>
          <t>1.850,00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=HYPERLINK("https://www.leilaoonline.com.br/lote/detalhe/52803", "271")</f>
      </c>
      <c r="B186" s="4" t="s">
        <f>=HYPERLINK("https://www.leilaoonline.com.br/lote/detalhe/52803", "SLS-EQ-002-2020 - 01 SERRA FITA STARRETT, MOD. ST-3720, ANO 2005, LOC. São Luis / MA")</f>
      </c>
      <c r="C186" s="4" t="inlineStr">
        <is>
          <t>Não vendido</t>
        </is>
      </c>
      <c r="D186" s="4" t="inlineStr">
        <is>
          <t>19</t>
        </is>
      </c>
      <c r="E186" s="5" t="inlineStr">
        <is>
          <t>3.350,00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=HYPERLINK("https://www.leilaoonline.com.br/lote/detalhe/52771", "272")</f>
      </c>
      <c r="B187" s="4" t="s">
        <f>=HYPERLINK("https://www.leilaoonline.com.br/lote/detalhe/52771", "082-042-2020 - furadeira radial ROCCO R-70H/2000 ANO: 1978")</f>
      </c>
      <c r="C187" s="4" t="inlineStr">
        <is>
          <t>Não vendido</t>
        </is>
      </c>
      <c r="D187" s="4" t="inlineStr">
        <is>
          <t>26</t>
        </is>
      </c>
      <c r="E187" s="5" t="inlineStr">
        <is>
          <t>12.250,00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=HYPERLINK("https://www.leilaoonline.com.br/lote/detalhe/53189", "273")</f>
      </c>
      <c r="B188" s="4" t="s">
        <f>=HYPERLINK("https://www.leilaoonline.com.br/lote/detalhe/53189", "MCR-064-2020 - 01 COMPRESSOR DE AR PNEUMÁTICO ESTACIONARIO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=HYPERLINK("https://www.leilaoonline.com.br/lote/detalhe/52773", "274")</f>
      </c>
      <c r="B189" s="4" t="s">
        <f>=HYPERLINK("https://www.leilaoonline.com.br/lote/detalhe/52773", "082-044-2020 - COMPRESSOR INDUSTRIAL DE AR M/SHULZ MOD.SRP 1050 ANO: 1998")</f>
      </c>
      <c r="C189" s="4" t="inlineStr">
        <is>
          <t>Não vendido</t>
        </is>
      </c>
      <c r="D189" s="4" t="inlineStr">
        <is>
          <t>3</t>
        </is>
      </c>
      <c r="E189" s="5" t="inlineStr">
        <is>
          <t>2.500,00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=HYPERLINK("https://www.leilaoonline.com.br/lote/detalhe/52782", "275")</f>
      </c>
      <c r="B190" s="4" t="s">
        <f>=HYPERLINK("https://www.leilaoonline.com.br/lote/detalhe/52782", "082-045-2020 - COMPRESSOR INDUSTRIAL DE AR M/SHULZ MOD.SRP 1050 ANO: 1998")</f>
      </c>
      <c r="C190" s="4" t="inlineStr">
        <is>
          <t>Não vendido</t>
        </is>
      </c>
      <c r="D190" s="4" t="inlineStr">
        <is>
          <t>5</t>
        </is>
      </c>
      <c r="E190" s="5" t="inlineStr">
        <is>
          <t>3.000,00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=HYPERLINK("https://www.leilaoonline.com.br/lote/detalhe/52125", "276")</f>
      </c>
      <c r="B191" s="4" t="s">
        <f>=HYPERLINK("https://www.leilaoonline.com.br/lote/detalhe/52125", "SLS-MRO-022-2020- 01 BRACO DF3110440501/5401 SVEDALA")</f>
      </c>
      <c r="C191" s="4" t="inlineStr">
        <is>
          <t>Não vendido</t>
        </is>
      </c>
      <c r="D191" s="4" t="inlineStr">
        <is>
          <t>2</t>
        </is>
      </c>
      <c r="E191" s="5" t="inlineStr">
        <is>
          <t>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=HYPERLINK("https://www.leilaoonline.com.br/lote/detalhe/52784", "277")</f>
      </c>
      <c r="B192" s="4" t="s">
        <f>=HYPERLINK("https://www.leilaoonline.com.br/lote/detalhe/52784", "082-065-2020 - Esmerilhadeira JAWO Moto esmeril coluna 7,5CV ANO: 2009")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=HYPERLINK("https://www.leilaoonline.com.br/lote/detalhe/52785", "278")</f>
      </c>
      <c r="B193" s="4" t="s">
        <f>=HYPERLINK("https://www.leilaoonline.com.br/lote/detalhe/52785", "082-066-2020 - plaina limadora ROCCO 900/II")</f>
      </c>
      <c r="C193" s="4" t="inlineStr">
        <is>
          <t>Não vendido</t>
        </is>
      </c>
      <c r="D193" s="4" t="inlineStr">
        <is>
          <t>9</t>
        </is>
      </c>
      <c r="E193" s="5" t="inlineStr">
        <is>
          <t>3.500,00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=HYPERLINK("https://www.leilaoonline.com.br/lote/detalhe/52146", "279")</f>
      </c>
      <c r="B194" s="4" t="s">
        <f>=HYPERLINK("https://www.leilaoonline.com.br/lote/detalhe/52146", "SLS-MRO-010-2020 - 282 ITENS DIVERSOS, TRILHOS, ROLAMENTOS, CILINDROS E OUTROS - VEJA DESCRITIVO DE ITENS ")</f>
      </c>
      <c r="C194" s="4" t="inlineStr">
        <is>
          <t>Vendido</t>
        </is>
      </c>
      <c r="D194" s="4" t="inlineStr">
        <is>
          <t>90</t>
        </is>
      </c>
      <c r="E194" s="5" t="inlineStr">
        <is>
          <t>22.600,00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=HYPERLINK("https://www.leilaoonline.com.br/lote/detalhe/52504", "280")</f>
      </c>
      <c r="B195" s="4" t="s">
        <f>=HYPERLINK("https://www.leilaoonline.com.br/lote/detalhe/52504", "082-025-2020 - Reboque - LOC: VITÓRIA/ ES")</f>
      </c>
      <c r="C195" s="4" t="inlineStr">
        <is>
          <t>Vendido</t>
        </is>
      </c>
      <c r="D195" s="4" t="inlineStr">
        <is>
          <t>3</t>
        </is>
      </c>
      <c r="E195" s="5" t="inlineStr">
        <is>
          <t>700,00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=HYPERLINK("https://www.leilaoonline.com.br/lote/detalhe/45382", "281")</f>
      </c>
      <c r="B196" s="4" t="s">
        <f>=HYPERLINK("https://www.leilaoonline.com.br/lote/detalhe/45382", "ITA-031-2020 - CARROCERIA DE MADEIRA - ANO 2008  - LOC. ITABIRA/MG")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1.550,00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=HYPERLINK("https://www.leilaoonline.com.br/lote/detalhe/45082", "282")</f>
      </c>
      <c r="B197" s="4" t="s">
        <f>=HYPERLINK("https://www.leilaoonline.com.br/lote/detalhe/45082", "CKS-008-2020 - 1 RADIADOR 785D, 1 MOTOR DE TRACAO T282.- LOC. CARAJAS ")</f>
      </c>
      <c r="C197" s="4" t="inlineStr">
        <is>
          <t>Não vendido</t>
        </is>
      </c>
      <c r="D197" s="4" t="inlineStr">
        <is>
          <t>36</t>
        </is>
      </c>
      <c r="E197" s="5" t="inlineStr">
        <is>
          <t>9.200,00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=HYPERLINK("https://www.leilaoonline.com.br/lote/detalhe/45297", "283")</f>
      </c>
      <c r="B198" s="4" t="s">
        <f>=HYPERLINK("https://www.leilaoonline.com.br/lote/detalhe/45297", "SLS-EQ-013-2018 - H-VAGAO PASSAGEIRO SMR - 104358-7, IMB.1000606054, LOC.SÃO LUÍS / MA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5.550,00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=HYPERLINK("https://www.leilaoonline.com.br/lote/detalhe/52621", "284")</f>
      </c>
      <c r="B199" s="4" t="s">
        <f>=HYPERLINK("https://www.leilaoonline.com.br/lote/detalhe/52621", "082-033-2020 - GRADE ARADORA CIVEMASA MODELO: SGAC S-1297 ANO: 2017 (NOVA - SEM USO)")</f>
      </c>
      <c r="C199" s="4" t="inlineStr">
        <is>
          <t>Não vendido</t>
        </is>
      </c>
      <c r="D199" s="4" t="inlineStr">
        <is>
          <t>16</t>
        </is>
      </c>
      <c r="E199" s="5" t="inlineStr">
        <is>
          <t>19.000,00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=HYPERLINK("https://www.leilaoonline.com.br/lote/detalhe/45340", "285")</f>
      </c>
      <c r="B200" s="4" t="s">
        <f>=HYPERLINK("https://www.leilaoonline.com.br/lote/detalhe/45340", "CKS-MRO-107-2019 - 6 ITENS PNEUS VEICULO LEVE 425/65R22.5 MICHELIN  - LOC. Parauapebas/ PA")</f>
      </c>
      <c r="C200" s="4" t="inlineStr">
        <is>
          <t>Vendido</t>
        </is>
      </c>
      <c r="D200" s="4" t="inlineStr">
        <is>
          <t>29</t>
        </is>
      </c>
      <c r="E200" s="5" t="inlineStr">
        <is>
          <t>3.500,00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=HYPERLINK("https://www.leilaoonline.com.br/lote/detalhe/45333", "286")</f>
      </c>
      <c r="B201" s="4" t="s">
        <f>=HYPERLINK("https://www.leilaoonline.com.br/lote/detalhe/45333", "CDM-001-2020 - ESTUFA DE LABORATORIO ENVIRONMENTAL  - LOC. SANTA LUZIA - MG")</f>
      </c>
      <c r="C201" s="4" t="inlineStr">
        <is>
          <t>Não vendido</t>
        </is>
      </c>
      <c r="D201" s="4" t="inlineStr">
        <is>
          <t>5</t>
        </is>
      </c>
      <c r="E201" s="5" t="inlineStr">
        <is>
          <t>700,00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=HYPERLINK("https://www.leilaoonline.com.br/lote/detalhe/52508", "287")</f>
      </c>
      <c r="B202" s="4" t="s">
        <f>=HYPERLINK("https://www.leilaoonline.com.br/lote/detalhe/52508", "082-027-2020 - JATEADOR DE GELO SECO - COLD JET AERO 80 HP ANO: 2011")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5.250,00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=HYPERLINK("https://www.leilaoonline.com.br/lote/detalhe/52506", "288")</f>
      </c>
      <c r="B203" s="4" t="s">
        <f>=HYPERLINK("https://www.leilaoonline.com.br/lote/detalhe/52506", "082-026-2020 - JATEADOR DE GELO SECO - COLD JET AERO C 100 ANO: 2011")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=HYPERLINK("https://www.leilaoonline.com.br/lote/detalhe/45078", "289")</f>
      </c>
      <c r="B204" s="4" t="s">
        <f>=HYPERLINK("https://www.leilaoonline.com.br/lote/detalhe/45078", "BRU-101-2020 - Maquina de Ar Condicionado - modelo - Clima Tech Top.  LOC. São Gonçalo do Rio Abaixo/ MG    ")</f>
      </c>
      <c r="C204" s="4" t="inlineStr">
        <is>
          <t>Não vendido</t>
        </is>
      </c>
      <c r="D204" s="4" t="inlineStr">
        <is>
          <t>5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=HYPERLINK("https://www.leilaoonline.com.br/lote/detalhe/45400", "290")</f>
      </c>
      <c r="B205" s="4" t="s">
        <f>=HYPERLINK("https://www.leilaoonline.com.br/lote/detalhe/45400", "FAB-018-2020 - 50 itens - POLIAS, ROLAMENTO ROLO, E OUTROS  veja descritivo de itens loc: Ouro Preto / Minas Gerais")</f>
      </c>
      <c r="C205" s="4" t="inlineStr">
        <is>
          <t>Vendido</t>
        </is>
      </c>
      <c r="D205" s="4" t="inlineStr">
        <is>
          <t>32</t>
        </is>
      </c>
      <c r="E205" s="5" t="inlineStr">
        <is>
          <t>3.900,00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=HYPERLINK("https://www.leilaoonline.com.br/lote/detalhe/45334", "292")</f>
      </c>
      <c r="B206" s="4" t="s">
        <f>=HYPERLINK("https://www.leilaoonline.com.br/lote/detalhe/45334", "082-001-2020- 40 ITENS , MOTORES, JUNTAS E VALVULAS, veja descritivo de itens - LOC. VITORIA/ES ")</f>
      </c>
      <c r="C206" s="4" t="inlineStr">
        <is>
          <t>Não vendido</t>
        </is>
      </c>
      <c r="D206" s="4" t="inlineStr">
        <is>
          <t>20</t>
        </is>
      </c>
      <c r="E206" s="5" t="inlineStr">
        <is>
          <t>2.700,00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=HYPERLINK("https://www.leilaoonline.com.br/lote/detalhe/45386", "293")</f>
      </c>
      <c r="B207" s="4" t="s">
        <f>=HYPERLINK("https://www.leilaoonline.com.br/lote/detalhe/45386", "'TIG-001-2020-51 ITENS DIVERSOS, GEARED P/DISJUNTOR, MOTOR CORRENTE ALTERNADA E OUTROS - VEJA DESCRITIVO DE ITENS ")</f>
      </c>
      <c r="C207" s="4" t="inlineStr">
        <is>
          <t>Não vendido</t>
        </is>
      </c>
      <c r="D207" s="4" t="inlineStr">
        <is>
          <t>17</t>
        </is>
      </c>
      <c r="E207" s="5" t="inlineStr">
        <is>
          <t>2.050,00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=HYPERLINK("https://www.leilaoonline.com.br/lote/detalhe/52142", "294")</f>
      </c>
      <c r="B208" s="4" t="s">
        <f>=HYPERLINK("https://www.leilaoonline.com.br/lote/detalhe/52142", "SLS-MRO-016-2020-67 ITENS DIVERSOS, CORREIAS, CAIXA ROLAMENTOS E OUTROS - VEJA DESCRITIVO DE ITENS ")</f>
      </c>
      <c r="C208" s="4" t="inlineStr">
        <is>
          <t>Não vendido</t>
        </is>
      </c>
      <c r="D208" s="4" t="inlineStr">
        <is>
          <t>83</t>
        </is>
      </c>
      <c r="E208" s="5" t="inlineStr">
        <is>
          <t>19.700,00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=HYPERLINK("https://www.leilaoonline.com.br/lote/detalhe/52052", "295")</f>
      </c>
      <c r="B209" s="4" t="s">
        <f>=HYPERLINK("https://www.leilaoonline.com.br/lote/detalhe/52052", "TIG-013-2020 - 2 MOTORES ELETRICOS, TRIFASICOS; CORRENTE ALTERNADA E OUTROS - VEJA DESCRITIVOS DE ITENS  ")</f>
      </c>
      <c r="C209" s="4" t="inlineStr">
        <is>
          <t>Vendido</t>
        </is>
      </c>
      <c r="D209" s="4" t="inlineStr">
        <is>
          <t>3</t>
        </is>
      </c>
      <c r="E209" s="5" t="inlineStr">
        <is>
          <t>650,00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=HYPERLINK("https://www.leilaoonline.com.br/lote/detalhe/52058", "296")</f>
      </c>
      <c r="B210" s="4" t="s">
        <f>=HYPERLINK("https://www.leilaoonline.com.br/lote/detalhe/52058", "TIG-004-2020-370 ITENS DIVERSOS, MOTORES, ACOPLAMENTOS, BARRA E OUTROS  ")</f>
      </c>
      <c r="C210" s="4" t="inlineStr">
        <is>
          <t>Vendido</t>
        </is>
      </c>
      <c r="D210" s="4" t="inlineStr">
        <is>
          <t>21</t>
        </is>
      </c>
      <c r="E210" s="5" t="inlineStr">
        <is>
          <t>4.600,00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=HYPERLINK("https://www.leilaoonline.com.br/lote/detalhe/45385", "298")</f>
      </c>
      <c r="B211" s="4" t="s">
        <f>=HYPERLINK("https://www.leilaoonline.com.br/lote/detalhe/45385", "TIG-005-2020 - APROX. 130 MTS CABO DE AÇO, VEJA DESCRITIVO DE ITENS ")</f>
      </c>
      <c r="C211" s="4" t="inlineStr">
        <is>
          <t>Não vendido</t>
        </is>
      </c>
      <c r="D211" s="4" t="inlineStr">
        <is>
          <t>8</t>
        </is>
      </c>
      <c r="E211" s="5" t="inlineStr">
        <is>
          <t>1.000,00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=HYPERLINK("https://www.leilaoonline.com.br/lote/detalhe/52056", "299")</f>
      </c>
      <c r="B212" s="4" t="s">
        <f>=HYPERLINK("https://www.leilaoonline.com.br/lote/detalhe/52056", "TIG-009-2020- APROX. 1.134 MTS DE CABO DE COBRE FLEXIVEL, CONFIGURACAO: 3X95M ")</f>
      </c>
      <c r="C212" s="4" t="inlineStr">
        <is>
          <t>Não vendido</t>
        </is>
      </c>
      <c r="D212" s="4" t="inlineStr">
        <is>
          <t>239</t>
        </is>
      </c>
      <c r="E212" s="5" t="inlineStr">
        <is>
          <t>67.450,00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=HYPERLINK("https://www.leilaoonline.com.br/lote/detalhe/45411", "300")</f>
      </c>
      <c r="B213" s="4" t="s">
        <f>=HYPERLINK("https://www.leilaoonline.com.br/lote/detalhe/45411", "S11D-008-2020-MRO - 270 ITENS - CABO DE AÇO, ROLAMENTO, EIXO, CHAPA - veja descritivo de itens  LOC: CANAA DOS CARAJAS")</f>
      </c>
      <c r="C213" s="4" t="inlineStr">
        <is>
          <t>Não vendido</t>
        </is>
      </c>
      <c r="D213" s="4" t="inlineStr">
        <is>
          <t>49</t>
        </is>
      </c>
      <c r="E213" s="5" t="inlineStr">
        <is>
          <t>19.700,00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=HYPERLINK("https://www.leilaoonline.com.br/lote/detalhe/45336", "301")</f>
      </c>
      <c r="B214" s="4" t="s">
        <f>=HYPERLINK("https://www.leilaoonline.com.br/lote/detalhe/45336", "082-003-2020 - 246 ITENS, ROLAMENTOS, PLACAS E OUTROS - veja descritivo de itens  - LOC. VITORIA/ES ")</f>
      </c>
      <c r="C214" s="4" t="inlineStr">
        <is>
          <t>Não vendido</t>
        </is>
      </c>
      <c r="D214" s="4" t="inlineStr">
        <is>
          <t>22</t>
        </is>
      </c>
      <c r="E214" s="5" t="inlineStr">
        <is>
          <t>2.400,00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=HYPERLINK("https://www.leilaoonline.com.br/lote/detalhe/52781", "302")</f>
      </c>
      <c r="B215" s="4" t="s">
        <f>=HYPERLINK("https://www.leilaoonline.com.br/lote/detalhe/52781", "SLS-MRO-032-2020- 01 ROLAMENTO RD, ROTHE ERDE- LOC. São Luis - MA")</f>
      </c>
      <c r="C215" s="4" t="inlineStr">
        <is>
          <t>Não vendido</t>
        </is>
      </c>
      <c r="D215" s="4" t="inlineStr">
        <is>
          <t>32</t>
        </is>
      </c>
      <c r="E215" s="5" t="inlineStr">
        <is>
          <t>7.050,00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=HYPERLINK("https://www.leilaoonline.com.br/lote/detalhe/52068", "304")</f>
      </c>
      <c r="B216" s="4" t="s">
        <f>=HYPERLINK("https://www.leilaoonline.com.br/lote/detalhe/52068", "MUT-025-2020 - APROX. 74 ITENS - Pneus de automóveis ou transporte de pessoal, Material elétrico E OUTROS - VEJA DECRITIVO DE ITENS")</f>
      </c>
      <c r="C216" s="4" t="inlineStr">
        <is>
          <t>Vendido</t>
        </is>
      </c>
      <c r="D216" s="4" t="inlineStr">
        <is>
          <t>4</t>
        </is>
      </c>
      <c r="E216" s="5" t="inlineStr">
        <is>
          <t>800,00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=HYPERLINK("https://www.leilaoonline.com.br/lote/detalhe/52054", "305")</f>
      </c>
      <c r="B217" s="4" t="s">
        <f>=HYPERLINK("https://www.leilaoonline.com.br/lote/detalhe/52054", "TIG-011-2020- 62 ITENS DIVERSOS - ROLAMENTO, EQUIPAMENTOS E PEÇAS-VEJA DESCRITIVO DE ITENS 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350,00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=HYPERLINK("https://www.leilaoonline.com.br/lote/detalhe/52055", "306")</f>
      </c>
      <c r="B218" s="4" t="s">
        <f>=HYPERLINK("https://www.leilaoonline.com.br/lote/detalhe/52055", "TIG-010-2020- 4.628 ITENS DIVERSOS, ROLOS, BUCHAS, ROLAMENTOS E OUTROS- VEJA DESCRITIVO DE ITENS ")</f>
      </c>
      <c r="C218" s="4" t="inlineStr">
        <is>
          <t>Vendido</t>
        </is>
      </c>
      <c r="D218" s="4" t="inlineStr">
        <is>
          <t>31</t>
        </is>
      </c>
      <c r="E218" s="5" t="inlineStr">
        <is>
          <t>7.600,00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=HYPERLINK("https://www.leilaoonline.com.br/lote/detalhe/45127", "307")</f>
      </c>
      <c r="B219" s="4" t="s">
        <f>=HYPERLINK("https://www.leilaoonline.com.br/lote/detalhe/45127", "CD-111-2020 - APROX. 300 ITENS - ROLAMENTOS, MANCAL... - veja descritivo de itens - LOC. Barão de Cocais/Minas Gerais")</f>
      </c>
      <c r="C219" s="4" t="inlineStr">
        <is>
          <t>Vendido</t>
        </is>
      </c>
      <c r="D219" s="4" t="inlineStr">
        <is>
          <t>62</t>
        </is>
      </c>
      <c r="E219" s="5" t="inlineStr">
        <is>
          <t>20.500,00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=HYPERLINK("https://www.leilaoonline.com.br/lote/detalhe/52060", "308")</f>
      </c>
      <c r="B220" s="4" t="s">
        <f>=HYPERLINK("https://www.leilaoonline.com.br/lote/detalhe/52060", "SSG-003-2020-275 ITENS DIVERSOS, ROLAMENTOS, MODULO, VEDAÇÃO E OUTROS- VEJA DESCRITIVO DE ITENS ")</f>
      </c>
      <c r="C220" s="4" t="inlineStr">
        <is>
          <t>Não vendido</t>
        </is>
      </c>
      <c r="D220" s="4" t="inlineStr">
        <is>
          <t>6</t>
        </is>
      </c>
      <c r="E220" s="5" t="inlineStr">
        <is>
          <t>1.200,00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=HYPERLINK("https://www.leilaoonline.com.br/lote/detalhe/52061", "309")</f>
      </c>
      <c r="B221" s="4" t="s">
        <f>=HYPERLINK("https://www.leilaoonline.com.br/lote/detalhe/52061", "SSG-002-2020-47 ITENS DIVERSOS, KIT COMPONENTE, GUIA COMPONENTES E OUTROS - VEJA DESCRITIVO DE ITENS ")</f>
      </c>
      <c r="C221" s="4" t="inlineStr">
        <is>
          <t>Não vendido</t>
        </is>
      </c>
      <c r="D221" s="4" t="inlineStr">
        <is>
          <t>4</t>
        </is>
      </c>
      <c r="E221" s="5" t="inlineStr">
        <is>
          <t>800,00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=HYPERLINK("https://www.leilaoonline.com.br/lote/detalhe/52074", "310")</f>
      </c>
      <c r="B222" s="4" t="s">
        <f>=HYPERLINK("https://www.leilaoonline.com.br/lote/detalhe/52074", "MUT-029-2020 - 2 ITENS - ROLAMENTO ROLO AUTOCOMPENSADOR; TIPO: PADRAO; FORMATO FURO: CILINDRICO; DIAMETRO INTERNO: 500MM; DIAMETRO EXTERNO: 720MM; LARGURA: 218MM; MATERIAL: ACO; QUANTIDADE CARREIRAS: 2 CARREIRAS; CLASSE FOLGA: C3; MATERIAL GAIOLA: LATAO; CARGA ATUACAO: RADIAL; L")</f>
      </c>
      <c r="C222" s="4" t="inlineStr">
        <is>
          <t>Vendido</t>
        </is>
      </c>
      <c r="D222" s="4" t="inlineStr">
        <is>
          <t>125</t>
        </is>
      </c>
      <c r="E222" s="5" t="inlineStr">
        <is>
          <t>44.200,00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=HYPERLINK("https://www.leilaoonline.com.br/lote/detalhe/52059", "311")</f>
      </c>
      <c r="B223" s="4" t="s">
        <f>=HYPERLINK("https://www.leilaoonline.com.br/lote/detalhe/52059", "SSG-004-2020-166 ITENS DIVERSOS,ROLAMENTOS, FONTE COMPONENTE, SENSOR E OUTROS- VEJA DESCRITIVO DE ITENS ")</f>
      </c>
      <c r="C223" s="4" t="inlineStr">
        <is>
          <t>Não vendido</t>
        </is>
      </c>
      <c r="D223" s="4" t="inlineStr">
        <is>
          <t>6</t>
        </is>
      </c>
      <c r="E223" s="5" t="inlineStr">
        <is>
          <t>1.200,00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=HYPERLINK("https://www.leilaoonline.com.br/lote/detalhe/45424", "312")</f>
      </c>
      <c r="B224" s="4" t="s">
        <f>=HYPERLINK("https://www.leilaoonline.com.br/lote/detalhe/45424", "PIC-193-2020- 275 ITENS DIVERSOS, REVESTIMENTOS,ROLAMENTOS E OUTROS - VEJA DESCRITIVO DE ITENS ")</f>
      </c>
      <c r="C224" s="4" t="inlineStr">
        <is>
          <t>Vendido</t>
        </is>
      </c>
      <c r="D224" s="4" t="inlineStr">
        <is>
          <t>14</t>
        </is>
      </c>
      <c r="E224" s="5" t="inlineStr">
        <is>
          <t>1.900,00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=HYPERLINK("https://www.leilaoonline.com.br/lote/detalhe/45276", "313")</f>
      </c>
      <c r="B225" s="4" t="s">
        <f>=HYPERLINK("https://www.leilaoonline.com.br/lote/detalhe/45276", "CD-134-2020 - 1 ITEM ROLAMENTO ROLO AUTOCOMPENSADOR - LOC. Barão de Cocais/Minas Gerais")</f>
      </c>
      <c r="C225" s="4" t="inlineStr">
        <is>
          <t>Não vendido</t>
        </is>
      </c>
      <c r="D225" s="4" t="inlineStr">
        <is>
          <t>16</t>
        </is>
      </c>
      <c r="E225" s="5" t="inlineStr">
        <is>
          <t>2.200,00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=HYPERLINK("https://www.leilaoonline.com.br/lote/detalhe/51991", "314")</f>
      </c>
      <c r="B226" s="4" t="s">
        <f>=HYPERLINK("https://www.leilaoonline.com.br/lote/detalhe/51991", "082-070-2020 - APROX. 869 ITENS Rolamentos, Unidades de engrenagem E OUTROS - VEJA DESCRITIVO DE ITENS")</f>
      </c>
      <c r="C226" s="4" t="inlineStr">
        <is>
          <t>Vendido</t>
        </is>
      </c>
      <c r="D226" s="4" t="inlineStr">
        <is>
          <t>74</t>
        </is>
      </c>
      <c r="E226" s="5" t="inlineStr">
        <is>
          <t>24.500,00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=HYPERLINK("https://www.leilaoonline.com.br/lote/detalhe/52133", "315")</f>
      </c>
      <c r="B227" s="4" t="s">
        <f>=HYPERLINK("https://www.leilaoonline.com.br/lote/detalhe/52133", "SLB-009-2020 - APROX. 144 ITENS - Rolamentos, Peças de britador, Filtros E OUTROS - VEJA DESCRITIVO DE ITENS")</f>
      </c>
      <c r="C227" s="4" t="inlineStr">
        <is>
          <t>Não vendido</t>
        </is>
      </c>
      <c r="D227" s="4" t="inlineStr">
        <is>
          <t>7</t>
        </is>
      </c>
      <c r="E227" s="5" t="inlineStr">
        <is>
          <t>1.300,00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=HYPERLINK("https://www.leilaoonline.com.br/lote/detalhe/45391", "316")</f>
      </c>
      <c r="B228" s="4" t="s">
        <f>=HYPERLINK("https://www.leilaoonline.com.br/lote/detalhe/45391", "SLS-MRO-008-2020, 2961 ITENS DIVERSOS, ROLAMENTOS, BUCHA DE TRANSFORMADOR E OUTROS- VEJA DESCRITIVO DE ITENS ")</f>
      </c>
      <c r="C228" s="4" t="inlineStr">
        <is>
          <t>Vendido</t>
        </is>
      </c>
      <c r="D228" s="4" t="inlineStr">
        <is>
          <t>44</t>
        </is>
      </c>
      <c r="E228" s="5" t="inlineStr">
        <is>
          <t>9.900,00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=HYPERLINK("https://www.leilaoonline.com.br/lote/detalhe/45413", "317")</f>
      </c>
      <c r="B229" s="4" t="s">
        <f>=HYPERLINK("https://www.leilaoonline.com.br/lote/detalhe/45413", "S11D-005-2020-MRO - 1500 ITENS EIXO, ROLAMENTO, ARRUELAS veja descritivo de itens - lOC: CANAA DOS CARAJAS")</f>
      </c>
      <c r="C229" s="4" t="inlineStr">
        <is>
          <t>Não vendido</t>
        </is>
      </c>
      <c r="D229" s="4" t="inlineStr">
        <is>
          <t>15</t>
        </is>
      </c>
      <c r="E229" s="5" t="inlineStr">
        <is>
          <t>5.700,00</t>
        </is>
      </c>
      <c r="F229" s="4" t="inlineStr">
        <is>
          <t>300.00</t>
        </is>
      </c>
    </row>
    <row collapsed="false" customFormat="false" customHeight="false" hidden="false" ht="12.1" outlineLevel="0" r="230">
      <c r="A230" s="5" t="s">
        <f>=HYPERLINK("https://www.leilaoonline.com.br/lote/detalhe/45414", "318")</f>
      </c>
      <c r="B230" s="4" t="s">
        <f>=HYPERLINK("https://www.leilaoonline.com.br/lote/detalhe/45414", "S11D-004-2020-MRO - 4500 ITENS ROLAMENTO, CHAPA veja descritivo de itens -  LOC: CANAA DOS CARAJAS")</f>
      </c>
      <c r="C230" s="4" t="inlineStr">
        <is>
          <t>Não vendido</t>
        </is>
      </c>
      <c r="D230" s="4" t="inlineStr">
        <is>
          <t>28</t>
        </is>
      </c>
      <c r="E230" s="5" t="inlineStr">
        <is>
          <t>9.600,00</t>
        </is>
      </c>
      <c r="F230" s="4" t="inlineStr">
        <is>
          <t>300.00</t>
        </is>
      </c>
    </row>
    <row collapsed="false" customFormat="false" customHeight="false" hidden="false" ht="12.1" outlineLevel="0" r="231">
      <c r="A231" s="5" t="s">
        <f>=HYPERLINK("https://www.leilaoonline.com.br/lote/detalhe/51977", "320")</f>
      </c>
      <c r="B231" s="4" t="s">
        <f>=HYPERLINK("https://www.leilaoonline.com.br/lote/detalhe/51977", "082-049-2020 - APROX. 3 550 ITENS Fios e cabos e conexões elétricas, Rolamentos E OUTROS - VEJA DESCRITIVO DE ITENS")</f>
      </c>
      <c r="C231" s="4" t="inlineStr">
        <is>
          <t>Não vendido</t>
        </is>
      </c>
      <c r="D231" s="4" t="inlineStr">
        <is>
          <t>107</t>
        </is>
      </c>
      <c r="E231" s="5" t="inlineStr">
        <is>
          <t>38.300,00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=HYPERLINK("https://www.leilaoonline.com.br/lote/detalhe/52067", "321")</f>
      </c>
      <c r="B232" s="4" t="s">
        <f>=HYPERLINK("https://www.leilaoonline.com.br/lote/detalhe/52067", "MUT-024-2020 - APROX. 125 ITENS - Rolamentos, Material elétrico E OUTROS - VEJA DESCRITIVO DE ITENS")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1.100,00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=HYPERLINK("https://www.leilaoonline.com.br/lote/detalhe/52070", "322")</f>
      </c>
      <c r="B233" s="4" t="s">
        <f>=HYPERLINK("https://www.leilaoonline.com.br/lote/detalhe/52070", "MUT-026-2020 - APROX. 57 ITENS - Transmissores de força mecânica, Rolamentos E OUTROS - VEJA DESCRITIVO DE ITENS")</f>
      </c>
      <c r="C233" s="4" t="inlineStr">
        <is>
          <t>Vendido</t>
        </is>
      </c>
      <c r="D233" s="4" t="inlineStr">
        <is>
          <t>5</t>
        </is>
      </c>
      <c r="E233" s="5" t="inlineStr">
        <is>
          <t>1.050,00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=HYPERLINK("https://www.leilaoonline.com.br/lote/detalhe/52108", "323")</f>
      </c>
      <c r="B234" s="4" t="s">
        <f>=HYPERLINK("https://www.leilaoonline.com.br/lote/detalhe/52108", "PIC-214-2020 - 32 ITENS - CAIXA ROLAMENTO, PARTES E PECAS EQUIPAMENTOS DIVERSOS - VEJA DECRITIVO DE ITENS")</f>
      </c>
      <c r="C234" s="4" t="inlineStr">
        <is>
          <t>Vendido</t>
        </is>
      </c>
      <c r="D234" s="4" t="inlineStr">
        <is>
          <t>20</t>
        </is>
      </c>
      <c r="E234" s="5" t="inlineStr">
        <is>
          <t>3.400,00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=HYPERLINK("https://www.leilaoonline.com.br/lote/detalhe/51998", "324")</f>
      </c>
      <c r="B235" s="4" t="s">
        <f>=HYPERLINK("https://www.leilaoonline.com.br/lote/detalhe/51998", "MUT-009-2020 - APROX. 186 ITENS Rolamento, equipamentos e instrumentos relacionados com transporte E OUTROS - VEJA DESCRITIVO DE ITENS")</f>
      </c>
      <c r="C235" s="4" t="inlineStr">
        <is>
          <t>Vendido</t>
        </is>
      </c>
      <c r="D235" s="4" t="inlineStr">
        <is>
          <t>8</t>
        </is>
      </c>
      <c r="E235" s="5" t="inlineStr">
        <is>
          <t>1.250,00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=HYPERLINK("https://www.leilaoonline.com.br/lote/detalhe/45441", "325")</f>
      </c>
      <c r="B236" s="4" t="s">
        <f>=HYPERLINK("https://www.leilaoonline.com.br/lote/detalhe/45441", "OIA-007-2020- 14 ITENS,MANCAL COMPONENTE, ROLAMENTO ROLO, E OUTROS - veja descritivo de itens -LOC. Ourilândia do Norte - PA")</f>
      </c>
      <c r="C236" s="4" t="inlineStr">
        <is>
          <t>Vendido</t>
        </is>
      </c>
      <c r="D236" s="4" t="inlineStr">
        <is>
          <t>8</t>
        </is>
      </c>
      <c r="E236" s="5" t="inlineStr">
        <is>
          <t>1.300,00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=HYPERLINK("https://www.leilaoonline.com.br/lote/detalhe/52072", "326")</f>
      </c>
      <c r="B237" s="4" t="s">
        <f>=HYPERLINK("https://www.leilaoonline.com.br/lote/detalhe/52072", "MUT-027-2020 - APROX. 20 ITENS - Fixadores diversos, Peças e acessórios de peneiras E OUTROS - VEJA DESCRITIVO DE ITENS")</f>
      </c>
      <c r="C237" s="4" t="inlineStr">
        <is>
          <t>Não vendido</t>
        </is>
      </c>
      <c r="D237" s="4" t="inlineStr">
        <is>
          <t>6</t>
        </is>
      </c>
      <c r="E237" s="5" t="inlineStr">
        <is>
          <t>1.000,00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=HYPERLINK("https://www.leilaoonline.com.br/lote/detalhe/52915", "327")</f>
      </c>
      <c r="B238" s="4" t="s">
        <f>=HYPERLINK("https://www.leilaoonline.com.br/lote/detalhe/52915", "OIA-026-2020- 29 ITENS, ROLAMENTOS DIVERSOS - VEJA DESCRITIVO DE ITENS ")</f>
      </c>
      <c r="C238" s="4" t="inlineStr">
        <is>
          <t>Não vendido</t>
        </is>
      </c>
      <c r="D238" s="4" t="inlineStr">
        <is>
          <t>63</t>
        </is>
      </c>
      <c r="E238" s="5" t="inlineStr">
        <is>
          <t>12.800,00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=HYPERLINK("https://www.leilaoonline.com.br/lote/detalhe/53139", "328")</f>
      </c>
      <c r="B239" s="4" t="s">
        <f>=HYPERLINK("https://www.leilaoonline.com.br/lote/detalhe/53139", "MUT-038-2020- 1695 ITENS, Arruelas, Rolamentos, Fixadores diversos E OUTROS- VEJA DESCRITIVO DE ITENS ")</f>
      </c>
      <c r="C239" s="4" t="inlineStr">
        <is>
          <t>Não vendido</t>
        </is>
      </c>
      <c r="D239" s="4" t="inlineStr">
        <is>
          <t>5</t>
        </is>
      </c>
      <c r="E239" s="5" t="inlineStr">
        <is>
          <t>1.100,00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=HYPERLINK("https://www.leilaoonline.com.br/lote/detalhe/53251", "329")</f>
      </c>
      <c r="B240" s="4" t="s">
        <f>=HYPERLINK("https://www.leilaoonline.com.br/lote/detalhe/53251", "MCR-019-2020 - 34 ITENS Rolamentos - VEJA DESCRITIVO DE ITENS")</f>
      </c>
      <c r="C240" s="4" t="inlineStr">
        <is>
          <t>Vendido</t>
        </is>
      </c>
      <c r="D240" s="4" t="inlineStr">
        <is>
          <t>12</t>
        </is>
      </c>
      <c r="E240" s="5" t="inlineStr">
        <is>
          <t>2.150,00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=HYPERLINK("https://www.leilaoonline.com.br/lote/detalhe/52075", "330")</f>
      </c>
      <c r="B241" s="4" t="s">
        <f>=HYPERLINK("https://www.leilaoonline.com.br/lote/detalhe/52075", "MUT-030-2020 - APROX. 61 ITENS - Rolamentos, Material elétrico E OUTROS - VEJA DESCRITIVO DE ITENS")</f>
      </c>
      <c r="C241" s="4" t="inlineStr">
        <is>
          <t>Vendido</t>
        </is>
      </c>
      <c r="D241" s="4" t="inlineStr">
        <is>
          <t>5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=HYPERLINK("https://www.leilaoonline.com.br/lote/detalhe/53170", "331")</f>
      </c>
      <c r="B242" s="4" t="s">
        <f>=HYPERLINK("https://www.leilaoonline.com.br/lote/detalhe/53170", "MUT-010-2020, 270 ITENS, BUCHA COMPONENTE,ELEMENTO FILT FLUID E OUTROS- VEJA DESCRITIVO ")</f>
      </c>
      <c r="C242" s="4" t="inlineStr">
        <is>
          <t>Vendido</t>
        </is>
      </c>
      <c r="D242" s="4" t="inlineStr">
        <is>
          <t>8</t>
        </is>
      </c>
      <c r="E242" s="5" t="inlineStr">
        <is>
          <t>1.550,00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=HYPERLINK("https://www.leilaoonline.com.br/lote/detalhe/53283", "332")</f>
      </c>
      <c r="B243" s="4" t="s">
        <f>=HYPERLINK("https://www.leilaoonline.com.br/lote/detalhe/53283", "MUT-046-2020 - APROX. 778 ITENS - Rolamentos E OUTROS - VEJA DESCRITIVO DE ITENS")</f>
      </c>
      <c r="C243" s="4" t="inlineStr">
        <is>
          <t>Vendido</t>
        </is>
      </c>
      <c r="D243" s="4" t="inlineStr">
        <is>
          <t>3</t>
        </is>
      </c>
      <c r="E243" s="5" t="inlineStr">
        <is>
          <t>800,00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=HYPERLINK("https://www.leilaoonline.com.br/lote/detalhe/53262", "333")</f>
      </c>
      <c r="B244" s="4" t="s">
        <f>=HYPERLINK("https://www.leilaoonline.com.br/lote/detalhe/53262", "MCR-025-2020 - 15 ITENS ROLAMENTOS E OUTRO - VEJA DESCRITIVO DE ITENS")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650,00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=HYPERLINK("https://www.leilaoonline.com.br/lote/detalhe/53172", "334")</f>
      </c>
      <c r="B245" s="4" t="s">
        <f>=HYPERLINK("https://www.leilaoonline.com.br/lote/detalhe/53172", "FAB-63-2020 - APROX. 157 ITENS - Rolamentos, Juntas e vedações E OUTROS - VEJA DESCRITIVO DE ITENS")</f>
      </c>
      <c r="C245" s="4" t="inlineStr">
        <is>
          <t>Vendido</t>
        </is>
      </c>
      <c r="D245" s="4" t="inlineStr">
        <is>
          <t>38</t>
        </is>
      </c>
      <c r="E245" s="5" t="inlineStr">
        <is>
          <t>6.450,00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=HYPERLINK("https://www.leilaoonline.com.br/lote/detalhe/52908", "335")</f>
      </c>
      <c r="B246" s="4" t="s">
        <f>=HYPERLINK("https://www.leilaoonline.com.br/lote/detalhe/52908", "CPBS-009-2020 - 27 ITENS Rolamentos E OUTROS - VEJA DESCRITIVO DE ITENS")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=HYPERLINK("https://www.leilaoonline.com.br/lote/detalhe/52866", "336")</f>
      </c>
      <c r="B247" s="4" t="s">
        <f>=HYPERLINK("https://www.leilaoonline.com.br/lote/detalhe/52866", "CKS-MRO-014-2020 - 23 PEÇAS - ROLAMENTO COMPONENTE;4079484 LE TOURNEAU")</f>
      </c>
      <c r="C247" s="4" t="inlineStr">
        <is>
          <t>Não vendido</t>
        </is>
      </c>
      <c r="D247" s="4" t="inlineStr">
        <is>
          <t>126</t>
        </is>
      </c>
      <c r="E247" s="5" t="inlineStr">
        <is>
          <t>33.800,00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=HYPERLINK("https://www.leilaoonline.com.br/lote/detalhe/52846", "337")</f>
      </c>
      <c r="B248" s="4" t="s">
        <f>=HYPERLINK("https://www.leilaoonline.com.br/lote/detalhe/52846", "CD-141-2020 - 1 PEÇA ROLAMENTO COMPONENTE; TIPO: GIRO; MATERIAL: ACO CARBONO; SUBAPLICACAO: ACIONADOR; APLICACAO: ESPESSADOR")</f>
      </c>
      <c r="C248" s="4" t="inlineStr">
        <is>
          <t>Não vendido</t>
        </is>
      </c>
      <c r="D248" s="4" t="inlineStr">
        <is>
          <t>21</t>
        </is>
      </c>
      <c r="E248" s="5" t="inlineStr">
        <is>
          <t>4.200,00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=HYPERLINK("https://www.leilaoonline.com.br/lote/detalhe/52838", "338")</f>
      </c>
      <c r="B249" s="4" t="s">
        <f>=HYPERLINK("https://www.leilaoonline.com.br/lote/detalhe/52838", "ACA-008-2020 - APROX. 196 ITENS - Fixadores diversos, Rolamentos E OUTROS - VEJA DESCRITIVO DE ITENS")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500,00</t>
        </is>
      </c>
      <c r="F249" s="4" t="inlineStr">
        <is>
          <t>150.00</t>
        </is>
      </c>
    </row>
    <row collapsed="false" customFormat="false" customHeight="false" hidden="false" ht="12.1" outlineLevel="0" r="250">
      <c r="A250" s="5" t="s">
        <f>=HYPERLINK("https://www.leilaoonline.com.br/lote/detalhe/53282", "339")</f>
      </c>
      <c r="B250" s="4" t="s">
        <f>=HYPERLINK("https://www.leilaoonline.com.br/lote/detalhe/53282", "TIG-022-2020-15 ITENS, ROLAMENTO ESFERAS, RODA COMPONENTE E OUTROS- VEJA DESCRITIVO DE ITENS ")</f>
      </c>
      <c r="C250" s="4" t="inlineStr">
        <is>
          <t>Não vendido</t>
        </is>
      </c>
      <c r="D250" s="4" t="inlineStr">
        <is>
          <t>2</t>
        </is>
      </c>
      <c r="E250" s="5" t="inlineStr">
        <is>
          <t>650,00</t>
        </is>
      </c>
      <c r="F250" s="4" t="inlineStr">
        <is>
          <t>150.00</t>
        </is>
      </c>
    </row>
    <row collapsed="false" customFormat="false" customHeight="false" hidden="false" ht="12.1" outlineLevel="0" r="251">
      <c r="A251" s="5" t="s">
        <f>=HYPERLINK("https://www.leilaoonline.com.br/lote/detalhe/53256", "340")</f>
      </c>
      <c r="B251" s="4" t="s">
        <f>=HYPERLINK("https://www.leilaoonline.com.br/lote/detalhe/53256", "MCR-043-2020-168 ITENS, JOGO DE FREIO, ARRUELA , ROLAMENTOS E OUTROS- VEJA DESCRITIVO DE ITENS ")</f>
      </c>
      <c r="C251" s="4" t="inlineStr">
        <is>
          <t>Não vendido</t>
        </is>
      </c>
      <c r="D251" s="4" t="inlineStr">
        <is>
          <t>4</t>
        </is>
      </c>
      <c r="E251" s="5" t="inlineStr">
        <is>
          <t>950,00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=HYPERLINK("https://www.leilaoonline.com.br/lote/detalhe/53171", "341")</f>
      </c>
      <c r="B252" s="4" t="s">
        <f>=HYPERLINK("https://www.leilaoonline.com.br/lote/detalhe/53171", "MUT-008-2020, 973 ITENS, VEDACAO PLANA, CAIXA ROLAMENTO E OUTROS- VEJA DESCRITIVO ")</f>
      </c>
      <c r="C252" s="4" t="inlineStr">
        <is>
          <t>Não vendido</t>
        </is>
      </c>
      <c r="D252" s="4" t="inlineStr">
        <is>
          <t>24</t>
        </is>
      </c>
      <c r="E252" s="5" t="inlineStr">
        <is>
          <t>3.950,00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=HYPERLINK("https://www.leilaoonline.com.br/lote/detalhe/52901", "342")</f>
      </c>
      <c r="B253" s="4" t="s">
        <f>=HYPERLINK("https://www.leilaoonline.com.br/lote/detalhe/52901", "PIC-223-2020- 16 ITENS, FERRAGENS ROLAMENTOS, TUBOS - VEJA DESCRITIVO DE ITENS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=HYPERLINK("https://www.leilaoonline.com.br/lote/detalhe/52896", "343")</f>
      </c>
      <c r="B254" s="4" t="s">
        <f>=HYPERLINK("https://www.leilaoonline.com.br/lote/detalhe/52896", "PIC-229-2020- 59 ITENS DIVERSOS, MANGUEIRA MONTADA, ROLAMENTOS E OUTROS - VEJA DESCRITIVO DE ITENS ")</f>
      </c>
      <c r="C254" s="4" t="inlineStr">
        <is>
          <t>Vendido</t>
        </is>
      </c>
      <c r="D254" s="4" t="inlineStr">
        <is>
          <t>12</t>
        </is>
      </c>
      <c r="E254" s="5" t="inlineStr">
        <is>
          <t>2.150,00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=HYPERLINK("https://www.leilaoonline.com.br/lote/detalhe/52779", "344")</f>
      </c>
      <c r="B255" s="4" t="s">
        <f>=HYPERLINK("https://www.leilaoonline.com.br/lote/detalhe/52779", "SLS-MRO-034-2020- 75 ITENS, ROLOS, MOTES, ROLAMENTOS - VEJA DESCRITIVO DE ITENS ")</f>
      </c>
      <c r="C255" s="4" t="inlineStr">
        <is>
          <t>Vendido</t>
        </is>
      </c>
      <c r="D255" s="4" t="inlineStr">
        <is>
          <t>13</t>
        </is>
      </c>
      <c r="E255" s="5" t="inlineStr">
        <is>
          <t>2.300,00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=HYPERLINK("https://www.leilaoonline.com.br/lote/detalhe/52775", "345")</f>
      </c>
      <c r="B256" s="4" t="s">
        <f>=HYPERLINK("https://www.leilaoonline.com.br/lote/detalhe/52775", "SLS-MRO-038-2020 - 802 ITENS, DISJUNTOR 6A, ROLAMENTO ROLO CILINDRICO E OUTROS - VEJA DESCRITIVO DE ITENS ")</f>
      </c>
      <c r="C256" s="4" t="inlineStr">
        <is>
          <t>Não vendido</t>
        </is>
      </c>
      <c r="D256" s="4" t="inlineStr">
        <is>
          <t>26</t>
        </is>
      </c>
      <c r="E256" s="5" t="inlineStr">
        <is>
          <t>5.950,00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=HYPERLINK("https://www.leilaoonline.com.br/lote/detalhe/52766", "346")</f>
      </c>
      <c r="B257" s="4" t="s">
        <f>=HYPERLINK("https://www.leilaoonline.com.br/lote/detalhe/52766", "SSG-015-2010-MRO- 232 ITENS, PARAFUSOS, PALHETAS , ROLAMENTOS E OUTROS - VEJA DESCRITIVO DE ITENS ")</f>
      </c>
      <c r="C257" s="4" t="inlineStr">
        <is>
          <t>Vendido</t>
        </is>
      </c>
      <c r="D257" s="4" t="inlineStr">
        <is>
          <t>44</t>
        </is>
      </c>
      <c r="E257" s="5" t="inlineStr">
        <is>
          <t>6.950,00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=HYPERLINK("https://www.leilaoonline.com.br/lote/detalhe/52051", "347")</f>
      </c>
      <c r="B258" s="4" t="s">
        <f>=HYPERLINK("https://www.leilaoonline.com.br/lote/detalhe/52051", "TIG-014-2020 - 853 ITENS DIVERSOS, ARRUELA, ROLAMENTOS, MOLAS E OUTROS - VEJA DESCRITIVO DE ITENS ")</f>
      </c>
      <c r="C258" s="4" t="inlineStr">
        <is>
          <t>Não vendido</t>
        </is>
      </c>
      <c r="D258" s="4" t="inlineStr">
        <is>
          <t>2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=HYPERLINK("https://www.leilaoonline.com.br/lote/detalhe/45428", "348")</f>
      </c>
      <c r="B259" s="4" t="s">
        <f>=HYPERLINK("https://www.leilaoonline.com.br/lote/detalhe/45428", "PIC-186-2020 - 78 ITENS DIVERSOS, TUBO CONDUÇÃO METALICO, CAIXA ROLAMENTO E OUTROS - VEJA DESCRITIVO DE ITENS ")</f>
      </c>
      <c r="C259" s="4" t="inlineStr">
        <is>
          <t>Vendido</t>
        </is>
      </c>
      <c r="D259" s="4" t="inlineStr">
        <is>
          <t>9</t>
        </is>
      </c>
      <c r="E259" s="5" t="inlineStr">
        <is>
          <t>1.100,00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=HYPERLINK("https://www.leilaoonline.com.br/lote/detalhe/45418", "350")</f>
      </c>
      <c r="B260" s="4" t="s">
        <f>=HYPERLINK("https://www.leilaoonline.com.br/lote/detalhe/45418", "MUT-003-2020 - 7.522 ITENS - FILTRO, ROLO TRANSPORTADOR E OUTROS - veja descritivo de itens  - LOC. NOVA LIMA-MG")</f>
      </c>
      <c r="C260" s="4" t="inlineStr">
        <is>
          <t>Vendido</t>
        </is>
      </c>
      <c r="D260" s="4" t="inlineStr">
        <is>
          <t>25</t>
        </is>
      </c>
      <c r="E260" s="5" t="inlineStr">
        <is>
          <t>3.650,00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=HYPERLINK("https://www.leilaoonline.com.br/lote/detalhe/45419", "351")</f>
      </c>
      <c r="B261" s="4" t="s">
        <f>=HYPERLINK("https://www.leilaoonline.com.br/lote/detalhe/45419", "MUT-004-2020 - APROX. 59 ITENS - MANGUEIRA, EQUIPAMENTOS DIVERSOS - veja descritivo de itens  - LOC. NOVA LIMA-MG")</f>
      </c>
      <c r="C261" s="4" t="inlineStr">
        <is>
          <t>Vendido</t>
        </is>
      </c>
      <c r="D261" s="4" t="inlineStr">
        <is>
          <t>3</t>
        </is>
      </c>
      <c r="E261" s="5" t="inlineStr">
        <is>
          <t>950,00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=HYPERLINK("https://www.leilaoonline.com.br/lote/detalhe/45422", "352")</f>
      </c>
      <c r="B262" s="4" t="s">
        <f>=HYPERLINK("https://www.leilaoonline.com.br/lote/detalhe/45422", "OIA-001-2020 - 40 ITENS FILTRO, JUNTA, ANEL E OUTROS - veja descritivo de itens  - LOC. Ourilândia do Norte - PA")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=HYPERLINK("https://www.leilaoonline.com.br/lote/detalhe/45431", "360")</f>
      </c>
      <c r="B263" s="4" t="s">
        <f>=HYPERLINK("https://www.leilaoonline.com.br/lote/detalhe/45431", "PIC-178-2020 - 1.400 ITENS: PARAFUSO, FILTRO E OUTROS - veja descritivo de itens  - LOC.Itabirito / Minas Gerais")</f>
      </c>
      <c r="C263" s="4" t="inlineStr">
        <is>
          <t>Vendido</t>
        </is>
      </c>
      <c r="D263" s="4" t="inlineStr">
        <is>
          <t>2</t>
        </is>
      </c>
      <c r="E263" s="5" t="inlineStr">
        <is>
          <t>400,00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=HYPERLINK("https://www.leilaoonline.com.br/lote/detalhe/45693", "361")</f>
      </c>
      <c r="B264" s="4" t="s">
        <f>=HYPERLINK("https://www.leilaoonline.com.br/lote/detalhe/45693", "PIC-177-2020 - 400 ITENS: ACELEROMETRO, CONTATOR E OUTROS - veja descritivo de itens  - LOC.Itabirito / Minas Gerais")</f>
      </c>
      <c r="C264" s="4" t="inlineStr">
        <is>
          <t>Vendido</t>
        </is>
      </c>
      <c r="D264" s="4" t="inlineStr">
        <is>
          <t>39</t>
        </is>
      </c>
      <c r="E264" s="5" t="inlineStr">
        <is>
          <t>5.900,00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=HYPERLINK("https://www.leilaoonline.com.br/lote/detalhe/45433", "362")</f>
      </c>
      <c r="B265" s="4" t="s">
        <f>=HYPERLINK("https://www.leilaoonline.com.br/lote/detalhe/45433", "PIC-176-2020 -396 ITENS DIVERSOS, BICO COMPONENTE, VEDAÇÃO ROTOR E OUTROS- VEJA DESCRITIVO DE ITENS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=HYPERLINK("https://www.leilaoonline.com.br/lote/detalhe/45434", "363")</f>
      </c>
      <c r="B266" s="4" t="s">
        <f>=HYPERLINK("https://www.leilaoonline.com.br/lote/detalhe/45434", "PIC-173-2020- 11 ITENS DIVERSOS, VALVULA SOLENOIDE, BASE RELE E OUTROS - VEJA DESCRITIVO DE ITENS ")</f>
      </c>
      <c r="C266" s="4" t="inlineStr">
        <is>
          <t>Vendido</t>
        </is>
      </c>
      <c r="D266" s="4" t="inlineStr">
        <is>
          <t>2</t>
        </is>
      </c>
      <c r="E266" s="5" t="inlineStr">
        <is>
          <t>400,00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=HYPERLINK("https://www.leilaoonline.com.br/lote/detalhe/45435", "364")</f>
      </c>
      <c r="B267" s="4" t="s">
        <f>=HYPERLINK("https://www.leilaoonline.com.br/lote/detalhe/45435", "PIC-172-2020 - 37 ITENS DIVERSOS, PLACA ELETRONICA, CONECTOR P/CABO, MODULO ELETRONICO E OUTROS - VEJA DESCRITIVO DE ITENS ")</f>
      </c>
      <c r="C267" s="4" t="inlineStr">
        <is>
          <t>Vendido</t>
        </is>
      </c>
      <c r="D267" s="4" t="inlineStr">
        <is>
          <t>8</t>
        </is>
      </c>
      <c r="E267" s="5" t="inlineStr">
        <is>
          <t>1.000,00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=HYPERLINK("https://www.leilaoonline.com.br/lote/detalhe/45436", "365")</f>
      </c>
      <c r="B268" s="4" t="s">
        <f>=HYPERLINK("https://www.leilaoonline.com.br/lote/detalhe/45436", "PIC-170-2020- 60 ITENS DIVERSOS, CONECTOR, MOLA, CARTUCHO E OUTROS - VEJA DESCRITIVO DE ITENS  ")</f>
      </c>
      <c r="C268" s="4" t="inlineStr">
        <is>
          <t>Vendido</t>
        </is>
      </c>
      <c r="D268" s="4" t="inlineStr">
        <is>
          <t>8</t>
        </is>
      </c>
      <c r="E268" s="5" t="inlineStr">
        <is>
          <t>1.000,00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=HYPERLINK("https://www.leilaoonline.com.br/lote/detalhe/45437", "366")</f>
      </c>
      <c r="B269" s="4" t="s">
        <f>=HYPERLINK("https://www.leilaoonline.com.br/lote/detalhe/45437", "OIA-003-2020- 33 ITENS DIVERSOS, SENSOR PROXIMIDADE, SENSOR COMPONENTE E OUTROS - VEJA DESCRITIVO DE ITENS ")</f>
      </c>
      <c r="C269" s="4" t="inlineStr">
        <is>
          <t>Não vendido</t>
        </is>
      </c>
      <c r="D269" s="4" t="inlineStr">
        <is>
          <t>1</t>
        </is>
      </c>
      <c r="E269" s="5" t="inlineStr">
        <is>
          <t>300,00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=HYPERLINK("https://www.leilaoonline.com.br/lote/detalhe/45438", "367")</f>
      </c>
      <c r="B270" s="4" t="s">
        <f>=HYPERLINK("https://www.leilaoonline.com.br/lote/detalhe/45438", "OIA-004-2020 - 31 ITENS DIVERSOS, OMPRESSOR AR ATLAS COPCO, ESTICADOR COMPONENTE E OUTROS - VEJA DESCRITIVO DE ITENS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=HYPERLINK("https://www.leilaoonline.com.br/lote/detalhe/45439", "368")</f>
      </c>
      <c r="B271" s="4" t="s">
        <f>=HYPERLINK("https://www.leilaoonline.com.br/lote/detalhe/45439", "OIA-005-2020 - 23 ITENS DIVERSOS, JUNTA COMPONENTE, ANEL COMPONENTE E OUTROS - VEJA DESCRITIVO DE ITENS ")</f>
      </c>
      <c r="C271" s="4" t="inlineStr">
        <is>
          <t>Vendido</t>
        </is>
      </c>
      <c r="D271" s="4" t="inlineStr">
        <is>
          <t>2</t>
        </is>
      </c>
      <c r="E271" s="5" t="inlineStr">
        <is>
          <t>400,00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=HYPERLINK("https://www.leilaoonline.com.br/lote/detalhe/45440", "369")</f>
      </c>
      <c r="B272" s="4" t="s">
        <f>=HYPERLINK("https://www.leilaoonline.com.br/lote/detalhe/45440", "OIA-006-2020 - 85 ITENS DIVERSOS, CONTATOR ELETRICO,CHAVE IGNICAO; E OUTROS - VEJA DESCRITIVO DE ITENS ")</f>
      </c>
      <c r="C272" s="4" t="inlineStr">
        <is>
          <t>Não vendido</t>
        </is>
      </c>
      <c r="D272" s="4" t="inlineStr">
        <is>
          <t>8</t>
        </is>
      </c>
      <c r="E272" s="5" t="inlineStr">
        <is>
          <t>1.000,00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=HYPERLINK("https://www.leilaoonline.com.br/lote/detalhe/45383", "370")</f>
      </c>
      <c r="B273" s="4" t="s">
        <f>=HYPERLINK("https://www.leilaoonline.com.br/lote/detalhe/45383", "TIG-007-2020- 122 ITENS DIVERSOS , MOTOR DISPOSITIVO REBOCADOR,  ANEL ESPACADOR SEPARADOR E OUTROA - VEJA DESCRITIVO DE ITENS 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700,00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=HYPERLINK("https://www.leilaoonline.com.br/lote/detalhe/45384", "371")</f>
      </c>
      <c r="B274" s="4" t="s">
        <f>=HYPERLINK("https://www.leilaoonline.com.br/lote/detalhe/45384", "TIG-006-2020 - 56 ITENS DIVERSOS, VALVULA FREIO CONTROLE DIREC, MOTOR HIDRAULICO E OUTROS - VEJA DESCRITIVO DE ITENS ")</f>
      </c>
      <c r="C274" s="4" t="inlineStr">
        <is>
          <t>Não vendido</t>
        </is>
      </c>
      <c r="D274" s="4" t="inlineStr">
        <is>
          <t>2</t>
        </is>
      </c>
      <c r="E274" s="5" t="inlineStr">
        <is>
          <t>400,00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=HYPERLINK("https://www.leilaoonline.com.br/lote/detalhe/45387", "374")</f>
      </c>
      <c r="B275" s="4" t="s">
        <f>=HYPERLINK("https://www.leilaoonline.com.br/lote/detalhe/45387", "SSG-001-2020- 144 ITENS DIVERSOS, COLAR COMPONENTE, GAXETA, FILTRO E OUTROS- VEJA DESCRITIVO DE ITENS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=HYPERLINK("https://www.leilaoonline.com.br/lote/detalhe/45388", "375")</f>
      </c>
      <c r="B276" s="4" t="s">
        <f>=HYPERLINK("https://www.leilaoonline.com.br/lote/detalhe/45388", "SLS-MRO-014-2020- 1.529 ITENS, MANGUEIRAS, DISCOS, SUPORTES FERROVIARIO E OUTROS - VEJA DESCRITIVO DE ITENS ")</f>
      </c>
      <c r="C276" s="4" t="inlineStr">
        <is>
          <t>Não vendido</t>
        </is>
      </c>
      <c r="D276" s="4" t="inlineStr">
        <is>
          <t>14</t>
        </is>
      </c>
      <c r="E276" s="5" t="inlineStr">
        <is>
          <t>2.050,00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=HYPERLINK("https://www.leilaoonline.com.br/lote/detalhe/45389", "376")</f>
      </c>
      <c r="B277" s="4" t="s">
        <f>=HYPERLINK("https://www.leilaoonline.com.br/lote/detalhe/45389", "SLS-MRO-012-2020 - 82 ITENS DIVERSOS, MANCAL DESLIZANTE, MANILHA RETA, E OUTROS - VEJA DESCRITIVO DE ITENS ")</f>
      </c>
      <c r="C277" s="4" t="inlineStr">
        <is>
          <t>Não vendido</t>
        </is>
      </c>
      <c r="D277" s="4" t="inlineStr">
        <is>
          <t>19</t>
        </is>
      </c>
      <c r="E277" s="5" t="inlineStr">
        <is>
          <t>2.600,00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=HYPERLINK("https://www.leilaoonline.com.br/lote/detalhe/45390", "377")</f>
      </c>
      <c r="B278" s="4" t="s">
        <f>=HYPERLINK("https://www.leilaoonline.com.br/lote/detalhe/45390", "SLS-MRO-009-2020, 785 ITENS DIVERSOS, ROLOS, PINOS, BUCHAS E OUTROS - VEJA DESCRITIVO DE ITENS ")</f>
      </c>
      <c r="C278" s="4" t="inlineStr">
        <is>
          <t>Não vendido</t>
        </is>
      </c>
      <c r="D278" s="4" t="inlineStr">
        <is>
          <t>1</t>
        </is>
      </c>
      <c r="E278" s="5" t="inlineStr">
        <is>
          <t>300,00</t>
        </is>
      </c>
      <c r="F278" s="4" t="inlineStr">
        <is>
          <t>100.00</t>
        </is>
      </c>
    </row>
    <row collapsed="false" customFormat="false" customHeight="false" hidden="false" ht="12.1" outlineLevel="0" r="279">
      <c r="A279" s="5" t="s">
        <f>=HYPERLINK("https://www.leilaoonline.com.br/lote/detalhe/45392", "379")</f>
      </c>
      <c r="B279" s="4" t="s">
        <f>=HYPERLINK("https://www.leilaoonline.com.br/lote/detalhe/45392", "SLS-MRO-007-2020, 749 ITENS DIVERSOS, DISJUNTOR GM-EMD, ENGRENAGEM, E OUTROS- VEJA DESCRITIVO DE ITENS ")</f>
      </c>
      <c r="C279" s="4" t="inlineStr">
        <is>
          <t>Não vendido</t>
        </is>
      </c>
      <c r="D279" s="4" t="inlineStr">
        <is>
          <t>8</t>
        </is>
      </c>
      <c r="E279" s="5" t="inlineStr">
        <is>
          <t>1.000,00</t>
        </is>
      </c>
      <c r="F279" s="4" t="inlineStr">
        <is>
          <t>100.00</t>
        </is>
      </c>
    </row>
    <row collapsed="false" customFormat="false" customHeight="false" hidden="false" ht="12.1" outlineLevel="0" r="280">
      <c r="A280" s="5" t="s">
        <f>=HYPERLINK("https://www.leilaoonline.com.br/lote/detalhe/45393", "380")</f>
      </c>
      <c r="B280" s="4" t="s">
        <f>=HYPERLINK("https://www.leilaoonline.com.br/lote/detalhe/45393", "SLS-MRO-006-2020, 2.583 ITENS DIVERSOS, PINHÃO, PARAFUSOS, MANTA E OUTROS - VEJA DESCRITIVO DE ITENS ")</f>
      </c>
      <c r="C280" s="4" t="inlineStr">
        <is>
          <t>Não vendido</t>
        </is>
      </c>
      <c r="D280" s="4" t="inlineStr">
        <is>
          <t>22</t>
        </is>
      </c>
      <c r="E280" s="5" t="inlineStr">
        <is>
          <t>2.800,00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=HYPERLINK("https://www.leilaoonline.com.br/lote/detalhe/45395", "381")</f>
      </c>
      <c r="B281" s="4" t="s">
        <f>=HYPERLINK("https://www.leilaoonline.com.br/lote/detalhe/45395", "SLS-MRO-004-2020 - 105 ITENS DIVERSOS, ROLETE C/ BUCHA, TAMPAS, PARAFUSOS - VEJA DESCRITIVO DE ITENS ")</f>
      </c>
      <c r="C281" s="4" t="inlineStr">
        <is>
          <t>Não vendido</t>
        </is>
      </c>
      <c r="D281" s="4" t="inlineStr">
        <is>
          <t>2</t>
        </is>
      </c>
      <c r="E281" s="5" t="inlineStr">
        <is>
          <t>400,00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=HYPERLINK("https://www.leilaoonline.com.br/lote/detalhe/45397", "383")</f>
      </c>
      <c r="B282" s="4" t="s">
        <f>=HYPERLINK("https://www.leilaoonline.com.br/lote/detalhe/45397", "SLS-MRO-002-2020- 186 ITENS DIVERSOS, ELEMENTO FILT FLUID, MODULO ELETR E OUTROS - VEJA DESCRITIVO DE ITENS ")</f>
      </c>
      <c r="C282" s="4" t="inlineStr">
        <is>
          <t>Vendido</t>
        </is>
      </c>
      <c r="D282" s="4" t="inlineStr">
        <is>
          <t>37</t>
        </is>
      </c>
      <c r="E282" s="5" t="inlineStr">
        <is>
          <t>5.300,00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=HYPERLINK("https://www.leilaoonline.com.br/lote/detalhe/45398", "384")</f>
      </c>
      <c r="B283" s="4" t="s">
        <f>=HYPERLINK("https://www.leilaoonline.com.br/lote/detalhe/45398", "SLS-MRO-001-2020- 190 ITENS DIVERSOS, SENSOR PROX INDUT, ESCOVA ELETRICA E OUTROS - VEJA DESCRITIVO DE ITENS ")</f>
      </c>
      <c r="C283" s="4" t="inlineStr">
        <is>
          <t>Vendido</t>
        </is>
      </c>
      <c r="D283" s="4" t="inlineStr">
        <is>
          <t>48</t>
        </is>
      </c>
      <c r="E283" s="5" t="inlineStr">
        <is>
          <t>8.000,00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=HYPERLINK("https://www.leilaoonline.com.br/lote/detalhe/45425", "386")</f>
      </c>
      <c r="B284" s="4" t="s">
        <f>=HYPERLINK("https://www.leilaoonline.com.br/lote/detalhe/45425", "PIC-192-2020- 57 ITENS DIVERSOS, DIFUSORES, RESGUARDO BRACO, ROLO TRANSP. E OUTROS -VEJA DESCRITIVO DE ITENS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=HYPERLINK("https://www.leilaoonline.com.br/lote/detalhe/45426", "387")</f>
      </c>
      <c r="B285" s="4" t="s">
        <f>=HYPERLINK("https://www.leilaoonline.com.br/lote/detalhe/45426", "PIC-189-2020 -75 ITENS DIVERSOS, FLANGE CONEXAO EXTERNO, FLANGE - VEJA DESCRITIVO DE ITENS ")</f>
      </c>
      <c r="C285" s="4" t="inlineStr">
        <is>
          <t>Vendido</t>
        </is>
      </c>
      <c r="D285" s="4" t="inlineStr">
        <is>
          <t>2</t>
        </is>
      </c>
      <c r="E285" s="5" t="inlineStr">
        <is>
          <t>400,00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=HYPERLINK("https://www.leilaoonline.com.br/lote/detalhe/45427", "388")</f>
      </c>
      <c r="B286" s="4" t="s">
        <f>=HYPERLINK("https://www.leilaoonline.com.br/lote/detalhe/45427", "PIC-188-2020- 14 ITENS DIVERSOS, PLACAS E COMPONENTES, PLACAS E MEDIDORES - VEJA DESCRITIVO DE ITENS ")</f>
      </c>
      <c r="C286" s="4" t="inlineStr">
        <is>
          <t>Vendido</t>
        </is>
      </c>
      <c r="D286" s="4" t="inlineStr">
        <is>
          <t>10</t>
        </is>
      </c>
      <c r="E286" s="5" t="inlineStr">
        <is>
          <t>1.200,00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=HYPERLINK("https://www.leilaoonline.com.br/lote/detalhe/45347", "389")</f>
      </c>
      <c r="B287" s="4" t="s">
        <f>=HYPERLINK("https://www.leilaoonline.com.br/lote/detalhe/45347", "GOV-057-2020 - APROX. 237 ITENS Peças P/ elevação, Tubos e tubulações E Outros - veja descritivo de itens - LOC. GOVERNADOR VALADARES/MG")</f>
      </c>
      <c r="C287" s="4" t="inlineStr">
        <is>
          <t>Vendido</t>
        </is>
      </c>
      <c r="D287" s="4" t="inlineStr">
        <is>
          <t>19</t>
        </is>
      </c>
      <c r="E287" s="5" t="inlineStr">
        <is>
          <t>2.800,00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=HYPERLINK("https://www.leilaoonline.com.br/lote/detalhe/45429", "390")</f>
      </c>
      <c r="B288" s="4" t="s">
        <f>=HYPERLINK("https://www.leilaoonline.com.br/lote/detalhe/45429", "PIC-185-2020- 107 ITENS DIVERSOS, ROLO TRANS, CORREIA, CAIXA ROLAM. E OUTROS - VEJA DESCRITIVO DE ITENS 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400,00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=HYPERLINK("https://www.leilaoonline.com.br/lote/detalhe/45694", "392")</f>
      </c>
      <c r="B289" s="4" t="s">
        <f>=HYPERLINK("https://www.leilaoonline.com.br/lote/detalhe/45694", "PIC-179-2020 - 162 ITENS DIVERSOS, LAMINA RASPADOR SECUNDARIA, TELA PENEIRA E OUTROS - VEJA DESCRITIVO DE ITENS ")</f>
      </c>
      <c r="C289" s="4" t="inlineStr">
        <is>
          <t>Vendido</t>
        </is>
      </c>
      <c r="D289" s="4" t="inlineStr">
        <is>
          <t>25</t>
        </is>
      </c>
      <c r="E289" s="5" t="inlineStr">
        <is>
          <t>3.500,00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=HYPERLINK("https://www.leilaoonline.com.br/lote/detalhe/45695", "393")</f>
      </c>
      <c r="B290" s="4" t="s">
        <f>=HYPERLINK("https://www.leilaoonline.com.br/lote/detalhe/45695", "PIC-206-2020 - 78 ITENS DIVERSOS, PLACAS FILTRANTES, BARRAS COMPONENTES - VEJA DECSRITIVO DE ITENS ")</f>
      </c>
      <c r="C290" s="4" t="inlineStr">
        <is>
          <t>Vendido</t>
        </is>
      </c>
      <c r="D290" s="4" t="inlineStr">
        <is>
          <t>17</t>
        </is>
      </c>
      <c r="E290" s="5" t="inlineStr">
        <is>
          <t>2.200,00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=HYPERLINK("https://www.leilaoonline.com.br/lote/detalhe/45696", "394")</f>
      </c>
      <c r="B291" s="4" t="s">
        <f>=HYPERLINK("https://www.leilaoonline.com.br/lote/detalhe/45696", "PIC-207-2020 -67 ITENS DIVERSOS, SINALIZADOR, DISCO DE FREIO E OUTROS- VEJA DESCRITIVO DE ITENS ")</f>
      </c>
      <c r="C291" s="4" t="inlineStr">
        <is>
          <t>Vendido</t>
        </is>
      </c>
      <c r="D291" s="4" t="inlineStr">
        <is>
          <t>4</t>
        </is>
      </c>
      <c r="E291" s="5" t="inlineStr">
        <is>
          <t>600,00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=HYPERLINK("https://www.leilaoonline.com.br/lote/detalhe/45697", "395")</f>
      </c>
      <c r="B292" s="4" t="s">
        <f>=HYPERLINK("https://www.leilaoonline.com.br/lote/detalhe/45697", "PIC-208-2020- 21 ITENS DIVERSOS, BUCHAS MDM, VALVULAS, JUNTAS E OUTROS - VEJA DESCRITIVO DE ITENS ")</f>
      </c>
      <c r="C292" s="4" t="inlineStr">
        <is>
          <t>Não vendido</t>
        </is>
      </c>
      <c r="D292" s="4" t="inlineStr">
        <is>
          <t>4</t>
        </is>
      </c>
      <c r="E292" s="5" t="inlineStr">
        <is>
          <t>600,00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=HYPERLINK("https://www.leilaoonline.com.br/lote/detalhe/45698", "396")</f>
      </c>
      <c r="B293" s="4" t="s">
        <f>=HYPERLINK("https://www.leilaoonline.com.br/lote/detalhe/45698", "PIC-209-2020 - 16 ITENS DIVERSOS, CONJUNTO MM500, REVESTIMENTOS, FUSIVEL E OUTROS- VEJA DESCRITIVO DE ITENS ")</f>
      </c>
      <c r="C293" s="4" t="inlineStr">
        <is>
          <t>Vendido</t>
        </is>
      </c>
      <c r="D293" s="4" t="inlineStr">
        <is>
          <t>30</t>
        </is>
      </c>
      <c r="E293" s="5" t="inlineStr">
        <is>
          <t>4.400,00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=HYPERLINK("https://www.leilaoonline.com.br/lote/detalhe/45699", "397")</f>
      </c>
      <c r="B294" s="4" t="s">
        <f>=HYPERLINK("https://www.leilaoonline.com.br/lote/detalhe/45699", "PIC-210-2020 - 44 ITENS DIVERSOS, ROTOR, HASTE ANCORA, REVESTIMENTOS - VEJA DESCRITIVO DE ITENS ")</f>
      </c>
      <c r="C294" s="4" t="inlineStr">
        <is>
          <t>Vendido</t>
        </is>
      </c>
      <c r="D294" s="4" t="inlineStr">
        <is>
          <t>16</t>
        </is>
      </c>
      <c r="E294" s="5" t="inlineStr">
        <is>
          <t>2.200,00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=HYPERLINK("https://www.leilaoonline.com.br/lote/detalhe/45700", "398")</f>
      </c>
      <c r="B295" s="4" t="s">
        <f>=HYPERLINK("https://www.leilaoonline.com.br/lote/detalhe/45700", "PIC-211-2020- 76 ITENS DIVERSOS, VALVULAS REDUTORAS, REVESTIMENTOS E OUTROS- VEJA DESCRITIVO DE ITENS ")</f>
      </c>
      <c r="C295" s="4" t="inlineStr">
        <is>
          <t>Não vendido</t>
        </is>
      </c>
      <c r="D295" s="4" t="inlineStr">
        <is>
          <t>4</t>
        </is>
      </c>
      <c r="E295" s="5" t="inlineStr">
        <is>
          <t>600,00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=HYPERLINK("https://www.leilaoonline.com.br/lote/detalhe/45701", "399")</f>
      </c>
      <c r="B296" s="4" t="s">
        <f>=HYPERLINK("https://www.leilaoonline.com.br/lote/detalhe/45701", "PIC-212-2020 - 29 ITENS DIVERSOS, FILTRO FLUIDO, JUNTA EXPANSÃO, ANEL GUIA E OUTROS - VEJA DESCRITIVO DE ITENS 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300,00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=HYPERLINK("https://www.leilaoonline.com.br/lote/detalhe/45302", "400")</f>
      </c>
      <c r="B297" s="4" t="s">
        <f>=HYPERLINK("https://www.leilaoonline.com.br/lote/detalhe/45302", "CPBS -002-2020 - 191 PEÇAS DIVERSAS -  Peças de britador, Fixadores diversos - LOC: ITAGUAI - PORTO DE SEPETIBA - veja descritivo de itens")</f>
      </c>
      <c r="C297" s="4" t="inlineStr">
        <is>
          <t>Não vendido</t>
        </is>
      </c>
      <c r="D297" s="4" t="inlineStr">
        <is>
          <t>2</t>
        </is>
      </c>
      <c r="E297" s="5" t="inlineStr">
        <is>
          <t>300,00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=HYPERLINK("https://www.leilaoonline.com.br/lote/detalhe/45303", "401")</f>
      </c>
      <c r="B298" s="4" t="s">
        <f>=HYPERLINK("https://www.leilaoonline.com.br/lote/detalhe/45303", "CPBS -003-2020 - 10 PÇ E 1 JG - PARTES E PEÇAS Painel de controle e ....loc: ITAGUAI - PORTO DE SEPETIBA veja descritivo de itens ")</f>
      </c>
      <c r="C298" s="4" t="inlineStr">
        <is>
          <t>Não vendido</t>
        </is>
      </c>
      <c r="D298" s="4" t="inlineStr">
        <is>
          <t>17</t>
        </is>
      </c>
      <c r="E298" s="5" t="inlineStr">
        <is>
          <t>1.250,00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=HYPERLINK("https://www.leilaoonline.com.br/lote/detalhe/45304", "402")</f>
      </c>
      <c r="B299" s="4" t="s">
        <f>=HYPERLINK("https://www.leilaoonline.com.br/lote/detalhe/45304", "FAB-012-2020 - 486 PEÇAS - LUVAS, ESCOVA, PERFIL E OUTROS - veja descritivo de itens - loc: Ouro Preto / Minas Gerais")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200,00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=HYPERLINK("https://www.leilaoonline.com.br/lote/detalhe/45306", "403")</f>
      </c>
      <c r="B300" s="4" t="s">
        <f>=HYPERLINK("https://www.leilaoonline.com.br/lote/detalhe/45306", "FAB-015-2020 - 80 itens PARTES E PEÇAS BOMBA, EIXO E,, veja descritivo de itens loc:Ouro Preto / Minas Gerais")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=HYPERLINK("https://www.leilaoonline.com.br/lote/detalhe/45399", "404")</f>
      </c>
      <c r="B301" s="4" t="s">
        <f>=HYPERLINK("https://www.leilaoonline.com.br/lote/detalhe/45399", "FAB-016-2020 - 130 itens VÁVULAS, ARMOTECEDOR E OUTROS veja descritivo de itens loc: Ouro Preto / Minas Gerais")</f>
      </c>
      <c r="C301" s="4" t="inlineStr">
        <is>
          <t>Vendido</t>
        </is>
      </c>
      <c r="D301" s="4" t="inlineStr">
        <is>
          <t>18</t>
        </is>
      </c>
      <c r="E301" s="5" t="inlineStr">
        <is>
          <t>1.500,00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=HYPERLINK("https://www.leilaoonline.com.br/lote/detalhe/45401", "406")</f>
      </c>
      <c r="B302" s="4" t="s">
        <f>=HYPERLINK("https://www.leilaoonline.com.br/lote/detalhe/45401", "FAB-019-2020 - DIVERSOS ITENS  VÁLVULAS, LÂMINAS, FIOS, MANGUEIRAS..veja descritivo de itens loc: Ouro Preto / Minas Gerais")</f>
      </c>
      <c r="C302" s="4" t="inlineStr">
        <is>
          <t>Vendido</t>
        </is>
      </c>
      <c r="D302" s="4" t="inlineStr">
        <is>
          <t>27</t>
        </is>
      </c>
      <c r="E302" s="5" t="inlineStr">
        <is>
          <t>2.150,00</t>
        </is>
      </c>
      <c r="F302" s="4" t="inlineStr">
        <is>
          <t>150.00</t>
        </is>
      </c>
    </row>
    <row collapsed="false" customFormat="false" customHeight="false" hidden="false" ht="12.1" outlineLevel="0" r="303">
      <c r="A303" s="5" t="s">
        <f>=HYPERLINK("https://www.leilaoonline.com.br/lote/detalhe/45402", "407")</f>
      </c>
      <c r="B303" s="4" t="s">
        <f>=HYPERLINK("https://www.leilaoonline.com.br/lote/detalhe/45402", "FAB-021-2020  - 500 PÇS E 80 JGS CORREIAS GATES, DAICO..veja descritivo de itens loc: Ouro Preto / Minas Gerais")</f>
      </c>
      <c r="C303" s="4" t="inlineStr">
        <is>
          <t>Não vendido</t>
        </is>
      </c>
      <c r="D303" s="4" t="inlineStr">
        <is>
          <t>4</t>
        </is>
      </c>
      <c r="E303" s="5" t="inlineStr">
        <is>
          <t>400,00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=HYPERLINK("https://www.leilaoonline.com.br/lote/detalhe/45403", "408")</f>
      </c>
      <c r="B304" s="4" t="s">
        <f>=HYPERLINK("https://www.leilaoonline.com.br/lote/detalhe/45403", "FAB-028-2020 - 110 ITENS ANEL, RETENTOR,......veja descritivo de itens loc: Ouro Preto / Minas Gerais")</f>
      </c>
      <c r="C304" s="4" t="inlineStr">
        <is>
          <t>Vendido</t>
        </is>
      </c>
      <c r="D304" s="4" t="inlineStr">
        <is>
          <t>2</t>
        </is>
      </c>
      <c r="E304" s="5" t="inlineStr">
        <is>
          <t>550,00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=HYPERLINK("https://www.leilaoonline.com.br/lote/detalhe/45406", "409")</f>
      </c>
      <c r="B305" s="4" t="s">
        <f>=HYPERLINK("https://www.leilaoonline.com.br/lote/detalhe/45406", "FAB-032-2020 -1000 itens FLANGES, ARRUELAS E OUTROS,......veja descritivo de itens loc: Ouro Preto / Minas Gerais")</f>
      </c>
      <c r="C305" s="4" t="inlineStr">
        <is>
          <t>Vendido</t>
        </is>
      </c>
      <c r="D305" s="4" t="inlineStr">
        <is>
          <t>3</t>
        </is>
      </c>
      <c r="E305" s="5" t="inlineStr">
        <is>
          <t>300,00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=HYPERLINK("https://www.leilaoonline.com.br/lote/detalhe/45407", "410")</f>
      </c>
      <c r="B306" s="4" t="s">
        <f>=HYPERLINK("https://www.leilaoonline.com.br/lote/detalhe/45407", "FAB-037-2020 - 15 PROJETOR, POLIA E OUYTRS,......veja descritivo de itens loc: Ouro Preto / Minas Gerais")</f>
      </c>
      <c r="C306" s="4" t="inlineStr">
        <is>
          <t>Vendido</t>
        </is>
      </c>
      <c r="D306" s="4" t="inlineStr">
        <is>
          <t>4</t>
        </is>
      </c>
      <c r="E306" s="5" t="inlineStr">
        <is>
          <t>450,00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=HYPERLINK("https://www.leilaoonline.com.br/lote/detalhe/45408", "411")</f>
      </c>
      <c r="B307" s="4" t="s">
        <f>=HYPERLINK("https://www.leilaoonline.com.br/lote/detalhe/45408", "FAB-039-2020 - 22 ROLO TRANSPORTADOR DE IMPACTO,......veja descritivo de itens loc: Ouro Preto / Minas Gerais")</f>
      </c>
      <c r="C307" s="4" t="inlineStr">
        <is>
          <t>Vendido</t>
        </is>
      </c>
      <c r="D307" s="4" t="inlineStr">
        <is>
          <t>4</t>
        </is>
      </c>
      <c r="E307" s="5" t="inlineStr">
        <is>
          <t>350,00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=HYPERLINK("https://www.leilaoonline.com.br/lote/detalhe/45409", "412")</f>
      </c>
      <c r="B308" s="4" t="s">
        <f>=HYPERLINK("https://www.leilaoonline.com.br/lote/detalhe/45409", "FAB-040-2020 - 3000 ITENS PEÇAS/PAR/JG. BOTINA, CALÇA, MASCARA,......veja descritivo de itens loc: Ouro Preto / Minas Gerais")</f>
      </c>
      <c r="C308" s="4" t="inlineStr">
        <is>
          <t>Vendido</t>
        </is>
      </c>
      <c r="D308" s="4" t="inlineStr">
        <is>
          <t>64</t>
        </is>
      </c>
      <c r="E308" s="5" t="inlineStr">
        <is>
          <t>12.150,00</t>
        </is>
      </c>
      <c r="F308" s="4" t="inlineStr">
        <is>
          <t>250.00</t>
        </is>
      </c>
    </row>
    <row collapsed="false" customFormat="false" customHeight="false" hidden="false" ht="12.1" outlineLevel="0" r="309">
      <c r="A309" s="5" t="s">
        <f>=HYPERLINK("https://www.leilaoonline.com.br/lote/detalhe/45410", "413")</f>
      </c>
      <c r="B309" s="4" t="s">
        <f>=HYPERLINK("https://www.leilaoonline.com.br/lote/detalhe/45410", "FAB-042-2020 - 05 TRANSDUTOR,......veja descritivo de itens loc: Ouro Preto / Minas Gerais")</f>
      </c>
      <c r="C309" s="4" t="inlineStr">
        <is>
          <t>Vendido</t>
        </is>
      </c>
      <c r="D309" s="4" t="inlineStr">
        <is>
          <t>2</t>
        </is>
      </c>
      <c r="E309" s="5" t="inlineStr">
        <is>
          <t>400,00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=HYPERLINK("https://www.leilaoonline.com.br/lote/detalhe/45412", "415")</f>
      </c>
      <c r="B310" s="4" t="s">
        <f>=HYPERLINK("https://www.leilaoonline.com.br/lote/detalhe/45412", "S11D-006-2020-MRO -1000 ITENS ANEL, PARAFUSO veja descritivo de itens - LOC: CANAA DOS CARAJAS")</f>
      </c>
      <c r="C310" s="4" t="inlineStr">
        <is>
          <t>Não vendido</t>
        </is>
      </c>
      <c r="D310" s="4" t="inlineStr">
        <is>
          <t>3</t>
        </is>
      </c>
      <c r="E310" s="5" t="inlineStr">
        <is>
          <t>2.100,00</t>
        </is>
      </c>
      <c r="F310" s="4" t="inlineStr">
        <is>
          <t>300.00</t>
        </is>
      </c>
    </row>
    <row collapsed="false" customFormat="false" customHeight="false" hidden="false" ht="12.1" outlineLevel="0" r="311">
      <c r="A311" s="5" t="s">
        <f>=HYPERLINK("https://www.leilaoonline.com.br/lote/detalhe/45442", "420")</f>
      </c>
      <c r="B311" s="4" t="s">
        <f>=HYPERLINK("https://www.leilaoonline.com.br/lote/detalhe/45442", "OIA-008-2020 - 10 ITENS, RELE, ACOPLAMENTO... - veja descritivo de itens - LOC. Ourilândia do Norte - PA")</f>
      </c>
      <c r="C311" s="4" t="inlineStr">
        <is>
          <t>Não vendido</t>
        </is>
      </c>
      <c r="D311" s="4" t="inlineStr">
        <is>
          <t>32</t>
        </is>
      </c>
      <c r="E311" s="5" t="inlineStr">
        <is>
          <t>4.000,00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=HYPERLINK("https://www.leilaoonline.com.br/lote/detalhe/45443", "421")</f>
      </c>
      <c r="B312" s="4" t="s">
        <f>=HYPERLINK("https://www.leilaoonline.com.br/lote/detalhe/45443", "OIA-009-2020 -27 ITENS,CHAPA, TALHA E OUTROS - veja descritivo de itens - LOC. Ourilândia do Norte - PA")</f>
      </c>
      <c r="C312" s="4" t="inlineStr">
        <is>
          <t>Vendido</t>
        </is>
      </c>
      <c r="D312" s="4" t="inlineStr">
        <is>
          <t>11</t>
        </is>
      </c>
      <c r="E312" s="5" t="inlineStr">
        <is>
          <t>1.750,00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=HYPERLINK("https://www.leilaoonline.com.br/lote/detalhe/45690", "424")</f>
      </c>
      <c r="B313" s="4" t="s">
        <f>=HYPERLINK("https://www.leilaoonline.com.br/lote/detalhe/45690", "S11D-001-2020 - 70 itens PARTES E PEÇAS P/ PONTE ROLANTE E TRANSPORTADOR veja descritivo de itens -  LOC: CANAA DOS CARAJAS")</f>
      </c>
      <c r="C313" s="4" t="inlineStr">
        <is>
          <t>Não vendido</t>
        </is>
      </c>
      <c r="D313" s="4" t="inlineStr">
        <is>
          <t>8</t>
        </is>
      </c>
      <c r="E313" s="5" t="inlineStr">
        <is>
          <t>3.600,00</t>
        </is>
      </c>
      <c r="F313" s="4" t="inlineStr">
        <is>
          <t>300.00</t>
        </is>
      </c>
    </row>
    <row collapsed="false" customFormat="false" customHeight="false" hidden="false" ht="12.1" outlineLevel="0" r="314">
      <c r="A314" s="5" t="s">
        <f>=HYPERLINK("https://www.leilaoonline.com.br/lote/detalhe/45691", "425")</f>
      </c>
      <c r="B314" s="4" t="s">
        <f>=HYPERLINK("https://www.leilaoonline.com.br/lote/detalhe/45691", "S11D-002-2020 - 130 ROLO TRANSPORTADOR veja descritivo de itens -  LOC: CANAA DOS CARAJAS")</f>
      </c>
      <c r="C314" s="4" t="inlineStr">
        <is>
          <t>Vendido</t>
        </is>
      </c>
      <c r="D314" s="4" t="inlineStr">
        <is>
          <t>8</t>
        </is>
      </c>
      <c r="E314" s="5" t="inlineStr">
        <is>
          <t>3.600,00</t>
        </is>
      </c>
      <c r="F314" s="4" t="inlineStr">
        <is>
          <t>300.00</t>
        </is>
      </c>
    </row>
    <row collapsed="false" customFormat="false" customHeight="false" hidden="false" ht="12.1" outlineLevel="0" r="315">
      <c r="A315" s="5" t="s">
        <f>=HYPERLINK("https://www.leilaoonline.com.br/lote/detalhe/51866", "426")</f>
      </c>
      <c r="B315" s="4" t="s">
        <f>=HYPERLINK("https://www.leilaoonline.com.br/lote/detalhe/51866", "082-010-2020 - 74 ITENS Equipamento de lubrificação e suas peças e acessórios, Fixadores diversos E OUTROS - VEJA DESCRITIVO DE ITENS")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500,00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=HYPERLINK("https://www.leilaoonline.com.br/lote/detalhe/51970", "428")</f>
      </c>
      <c r="B316" s="4" t="s">
        <f>=HYPERLINK("https://www.leilaoonline.com.br/lote/detalhe/51970", "082-012-2020 - 16 ITENS Peças de moinho E Peças e acessórios de locomotiva - VEJA DESCRITIVO DE ITENS")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500,00</t>
        </is>
      </c>
      <c r="F316" s="4" t="inlineStr">
        <is>
          <t>100.00</t>
        </is>
      </c>
    </row>
    <row collapsed="false" customFormat="false" customHeight="false" hidden="false" ht="12.1" outlineLevel="0" r="317">
      <c r="A317" s="5" t="s">
        <f>=HYPERLINK("https://www.leilaoonline.com.br/lote/detalhe/51973", "429")</f>
      </c>
      <c r="B317" s="4" t="s">
        <f>=HYPERLINK("https://www.leilaoonline.com.br/lote/detalhe/51973", "082-046-2020 - APROX. 352 ITENS Fixadores diversos, Peças e acessórios de locomotiva E Outros - VEJA DESCRITIVO DE ITENS")</f>
      </c>
      <c r="C317" s="4" t="inlineStr">
        <is>
          <t>Não vendido</t>
        </is>
      </c>
      <c r="D317" s="4" t="inlineStr">
        <is>
          <t>1</t>
        </is>
      </c>
      <c r="E317" s="5" t="inlineStr">
        <is>
          <t>500,00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=HYPERLINK("https://www.leilaoonline.com.br/lote/detalhe/51983", "431")</f>
      </c>
      <c r="B318" s="4" t="s">
        <f>=HYPERLINK("https://www.leilaoonline.com.br/lote/detalhe/51983", "082-063-2020 - APROX. 1.503 ITENS Conjunto de parafusos, Fixadores diversos, Juntas e vedações E OUTROS - VEJA DESCRITIVO DE ITENS")</f>
      </c>
      <c r="C318" s="4" t="inlineStr">
        <is>
          <t>Não vendido</t>
        </is>
      </c>
      <c r="D318" s="4" t="inlineStr">
        <is>
          <t>7</t>
        </is>
      </c>
      <c r="E318" s="5" t="inlineStr">
        <is>
          <t>1.100,00</t>
        </is>
      </c>
      <c r="F318" s="4" t="inlineStr">
        <is>
          <t>100.00</t>
        </is>
      </c>
    </row>
    <row collapsed="false" customFormat="false" customHeight="false" hidden="false" ht="12.1" outlineLevel="0" r="319">
      <c r="A319" s="5" t="s">
        <f>=HYPERLINK("https://www.leilaoonline.com.br/lote/detalhe/51984", "432")</f>
      </c>
      <c r="B319" s="4" t="s">
        <f>=HYPERLINK("https://www.leilaoonline.com.br/lote/detalhe/51984", "082-064-2020 - APROX. 2.828 ITENS Conjunto de parafusos, Fios e cabos e conexões elétricas E OUTROS - VEJA DESCRITIVO DE ITENS")</f>
      </c>
      <c r="C319" s="4" t="inlineStr">
        <is>
          <t>Não vendido</t>
        </is>
      </c>
      <c r="D319" s="4" t="inlineStr">
        <is>
          <t>1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=HYPERLINK("https://www.leilaoonline.com.br/lote/detalhe/51995", "434")</f>
      </c>
      <c r="B320" s="4" t="s">
        <f>=HYPERLINK("https://www.leilaoonline.com.br/lote/detalhe/51995", "082-071-2020 - APROX. 152 ITENS Peças e acessórios de bombas, Equipamento e peças e acessórios de resfriamento E OUTROS - VEJA DESCRITIVO DE ITENS")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500,00</t>
        </is>
      </c>
      <c r="F320" s="4" t="inlineStr">
        <is>
          <t>100.00</t>
        </is>
      </c>
    </row>
    <row collapsed="false" customFormat="false" customHeight="false" hidden="false" ht="12.1" outlineLevel="0" r="321">
      <c r="A321" s="5" t="s">
        <f>=HYPERLINK("https://www.leilaoonline.com.br/lote/detalhe/51997", "435")</f>
      </c>
      <c r="B321" s="4" t="s">
        <f>=HYPERLINK("https://www.leilaoonline.com.br/lote/detalhe/51997", "MUT-006-2020 - APROX. 77 ITENS Peças e acessórios de transportador de correia, Tubos e tubulações E OUTROS - VEJA DESCRITIVO DE ITENS")</f>
      </c>
      <c r="C321" s="4" t="inlineStr">
        <is>
          <t>Vendido</t>
        </is>
      </c>
      <c r="D321" s="4" t="inlineStr">
        <is>
          <t>31</t>
        </is>
      </c>
      <c r="E321" s="5" t="inlineStr">
        <is>
          <t>4.850,00</t>
        </is>
      </c>
      <c r="F321" s="4" t="inlineStr">
        <is>
          <t>250.00</t>
        </is>
      </c>
    </row>
    <row collapsed="false" customFormat="false" customHeight="false" hidden="false" ht="12.1" outlineLevel="0" r="322">
      <c r="A322" s="5" t="s">
        <f>=HYPERLINK("https://www.leilaoonline.com.br/lote/detalhe/52000", "437")</f>
      </c>
      <c r="B322" s="4" t="s">
        <f>=HYPERLINK("https://www.leilaoonline.com.br/lote/detalhe/52000", "MUT-016-2020 - APROX. 473 ITENS Conexões de tubos, Material elétrico E OUTROS - VEJA DESCRITIVO DE ITENS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=HYPERLINK("https://www.leilaoonline.com.br/lote/detalhe/52001", "438")</f>
      </c>
      <c r="B323" s="4" t="s">
        <f>=HYPERLINK("https://www.leilaoonline.com.br/lote/detalhe/52001", "MUT-018-2020 - APROX. 3.725 Componentes e acessórios de motores, Peças e insumos e acessórios de componentes eletrônicos E OUTROS - VEJA DESCRITIVO DE ITENS")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=HYPERLINK("https://www.leilaoonline.com.br/lote/detalhe/52002", "439")</f>
      </c>
      <c r="B324" s="4" t="s">
        <f>=HYPERLINK("https://www.leilaoonline.com.br/lote/detalhe/52002", "MUT-019-2020 - APROX. 226 ITENS - Peças e acessórios de compressores, Fixadores diversos E OUTROS - VEJA DESCRITIVO DE ITENS")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=HYPERLINK("https://www.leilaoonline.com.br/lote/detalhe/52003", "440")</f>
      </c>
      <c r="B325" s="4" t="s">
        <f>=HYPERLINK("https://www.leilaoonline.com.br/lote/detalhe/52003", "MUT-020-2020 - APROX. 2.741 ITENS - Conexões de tubos, Material elétrico E OUTROS - VEJA DESCRITIVO DE ITENS")</f>
      </c>
      <c r="C325" s="4" t="inlineStr">
        <is>
          <t>Vendido</t>
        </is>
      </c>
      <c r="D325" s="4" t="inlineStr">
        <is>
          <t>2</t>
        </is>
      </c>
      <c r="E325" s="5" t="inlineStr">
        <is>
          <t>600,00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=HYPERLINK("https://www.leilaoonline.com.br/lote/detalhe/45099", "441")</f>
      </c>
      <c r="B326" s="4" t="s">
        <f>=HYPERLINK("https://www.leilaoonline.com.br/lote/detalhe/45099", "CD-085-2019 - 16 ITENS - Peças P/ bombas, britador e Outros - veja descritivo de itens - LOC.  Barão de Cocais/Minas Gerais ")</f>
      </c>
      <c r="C326" s="4" t="inlineStr">
        <is>
          <t>Vendido</t>
        </is>
      </c>
      <c r="D326" s="4" t="inlineStr">
        <is>
          <t>8</t>
        </is>
      </c>
      <c r="E326" s="5" t="inlineStr">
        <is>
          <t>1.550,00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=HYPERLINK("https://www.leilaoonline.com.br/lote/detalhe/45100", "442")</f>
      </c>
      <c r="B327" s="4" t="s">
        <f>=HYPERLINK("https://www.leilaoonline.com.br/lote/detalhe/45100", "CD-102-2020 - 92 itens - Peças P/ peneiras e filtros - veja descritivo de itens - LOC.  Barão de Cocais/Minas Gerais ")</f>
      </c>
      <c r="C327" s="4" t="inlineStr">
        <is>
          <t>Vendido</t>
        </is>
      </c>
      <c r="D327" s="4" t="inlineStr">
        <is>
          <t>4</t>
        </is>
      </c>
      <c r="E327" s="5" t="inlineStr">
        <is>
          <t>600,00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=HYPERLINK("https://www.leilaoonline.com.br/lote/detalhe/45120", "443")</f>
      </c>
      <c r="B328" s="4" t="s">
        <f>=HYPERLINK("https://www.leilaoonline.com.br/lote/detalhe/45120", "CD-103-2020 - APROX. 163 ITENS - Peças P/ peneiras, veículo pesado e Outros - veja descritivo de itens - LOC. Barão de Cocais/Minas Gerais")</f>
      </c>
      <c r="C328" s="4" t="inlineStr">
        <is>
          <t>Não vendido</t>
        </is>
      </c>
      <c r="D328" s="4" t="inlineStr">
        <is>
          <t>2</t>
        </is>
      </c>
      <c r="E328" s="5" t="inlineStr">
        <is>
          <t>350,00</t>
        </is>
      </c>
      <c r="F328" s="4" t="inlineStr">
        <is>
          <t>150.00</t>
        </is>
      </c>
    </row>
    <row collapsed="false" customFormat="false" customHeight="false" hidden="false" ht="12.1" outlineLevel="0" r="329">
      <c r="A329" s="5" t="s">
        <f>=HYPERLINK("https://www.leilaoonline.com.br/lote/detalhe/52004", "444")</f>
      </c>
      <c r="B329" s="4" t="s">
        <f>=HYPERLINK("https://www.leilaoonline.com.br/lote/detalhe/52004", "MUT-021-2020 - APROX. 218 ITENS - Componentes e acessórios de motores, Fios e cabos e conexões elétricas E OUTROS - VEJA DESCRITIVO DE ITENS 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=HYPERLINK("https://www.leilaoonline.com.br/lote/detalhe/45140", "445")</f>
      </c>
      <c r="B330" s="4" t="s">
        <f>=HYPERLINK("https://www.leilaoonline.com.br/lote/detalhe/45140", "CD-113-2020 - APROX. 3800 ITENS  Cjt, de parafusos, Peças P/ bombas - veja descritivo de itens - LOC. Barão de Cocais/Minas Gerais")</f>
      </c>
      <c r="C330" s="4" t="inlineStr">
        <is>
          <t>Não vendido</t>
        </is>
      </c>
      <c r="D330" s="4" t="inlineStr">
        <is>
          <t>7</t>
        </is>
      </c>
      <c r="E330" s="5" t="inlineStr">
        <is>
          <t>950,00</t>
        </is>
      </c>
      <c r="F330" s="4" t="inlineStr">
        <is>
          <t>150.00</t>
        </is>
      </c>
    </row>
    <row collapsed="false" customFormat="false" customHeight="false" hidden="false" ht="12.1" outlineLevel="0" r="331">
      <c r="A331" s="5" t="s">
        <f>=HYPERLINK("https://www.leilaoonline.com.br/lote/detalhe/45146", "450")</f>
      </c>
      <c r="B331" s="4" t="s">
        <f>=HYPERLINK("https://www.leilaoonline.com.br/lote/detalhe/45146", "CD-118-2020 - 39 ITENS - Peças e acessórios de veículo pesado e Outros - veja descritivo de itens - LOC. Barão de Cocais/Minas Gerais")</f>
      </c>
      <c r="C331" s="4" t="inlineStr">
        <is>
          <t>Não vendido</t>
        </is>
      </c>
      <c r="D331" s="4" t="inlineStr">
        <is>
          <t>5</t>
        </is>
      </c>
      <c r="E331" s="5" t="inlineStr">
        <is>
          <t>550,00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=HYPERLINK("https://www.leilaoonline.com.br/lote/detalhe/45394", "450")</f>
      </c>
      <c r="B332" s="4" t="s">
        <f>=HYPERLINK("https://www.leilaoonline.com.br/lote/detalhe/45394", "ITA-032-2020 - 400 ITENS Peças: sonda e perfuratriz, Juntas e vedações E Outros - veja descritivo de itens  - LOC. ITABIRA/MG")</f>
      </c>
      <c r="C332" s="4" t="inlineStr">
        <is>
          <t>Vendido</t>
        </is>
      </c>
      <c r="D332" s="4" t="inlineStr">
        <is>
          <t>18</t>
        </is>
      </c>
      <c r="E332" s="5" t="inlineStr">
        <is>
          <t>3.150,00</t>
        </is>
      </c>
      <c r="F332" s="4" t="inlineStr">
        <is>
          <t>150.00</t>
        </is>
      </c>
    </row>
    <row collapsed="false" customFormat="false" customHeight="false" hidden="false" ht="12.1" outlineLevel="0" r="333">
      <c r="A333" s="5" t="s">
        <f>=HYPERLINK("https://www.leilaoonline.com.br/lote/detalhe/45150", "451")</f>
      </c>
      <c r="B333" s="4" t="s">
        <f>=HYPERLINK("https://www.leilaoonline.com.br/lote/detalhe/45150", "CD-119-2020 - 14 ITENS PARTES E PECAS; CONJUNTO EIXO; PENEIRA VIBRATORIA - LOC. Barão de Cocais/Minas Gerais")</f>
      </c>
      <c r="C333" s="4" t="inlineStr">
        <is>
          <t>Não vendido</t>
        </is>
      </c>
      <c r="D333" s="4" t="inlineStr">
        <is>
          <t>6</t>
        </is>
      </c>
      <c r="E333" s="5" t="inlineStr">
        <is>
          <t>1.250,00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=HYPERLINK("https://www.leilaoonline.com.br/lote/detalhe/45162", "452")</f>
      </c>
      <c r="B334" s="4" t="s">
        <f>=HYPERLINK("https://www.leilaoonline.com.br/lote/detalhe/45162", "CD-120-2019 - 51 ITENS Peças de britador, MOLAS E OUTROS - veja descritivo de itens  - LOC. Barão de Cocais/Minas Gerais")</f>
      </c>
      <c r="C334" s="4" t="inlineStr">
        <is>
          <t>Vendido</t>
        </is>
      </c>
      <c r="D334" s="4" t="inlineStr">
        <is>
          <t>34</t>
        </is>
      </c>
      <c r="E334" s="5" t="inlineStr">
        <is>
          <t>6.250,00</t>
        </is>
      </c>
      <c r="F334" s="4" t="inlineStr">
        <is>
          <t>250.00</t>
        </is>
      </c>
    </row>
    <row collapsed="false" customFormat="false" customHeight="false" hidden="false" ht="12.1" outlineLevel="0" r="335">
      <c r="A335" s="5" t="s">
        <f>=HYPERLINK("https://www.leilaoonline.com.br/lote/detalhe/45168", "453")</f>
      </c>
      <c r="B335" s="4" t="s">
        <f>=HYPERLINK("https://www.leilaoonline.com.br/lote/detalhe/45168", "CD-121-2020 - 1 TAMBOR CALDA EMPILHADEIRA MINEIRO - 2350-2695  - LOC. Barão de Cocais/Minas Gerais")</f>
      </c>
      <c r="C335" s="4" t="inlineStr">
        <is>
          <t>Não vendido</t>
        </is>
      </c>
      <c r="D335" s="4" t="inlineStr">
        <is>
          <t>4</t>
        </is>
      </c>
      <c r="E335" s="5" t="inlineStr">
        <is>
          <t>450,00</t>
        </is>
      </c>
      <c r="F335" s="4" t="inlineStr">
        <is>
          <t>100.00</t>
        </is>
      </c>
    </row>
    <row collapsed="false" customFormat="false" customHeight="false" hidden="false" ht="12.1" outlineLevel="0" r="336">
      <c r="A336" s="5" t="s">
        <f>=HYPERLINK("https://www.leilaoonline.com.br/lote/detalhe/45170", "454")</f>
      </c>
      <c r="B336" s="4" t="s">
        <f>=HYPERLINK("https://www.leilaoonline.com.br/lote/detalhe/45170", "CD-122-2020 - 10 ITENS PARTES E PECAS: VEDACAO LATERAL  - LOC. Barão de Cocais/Minas Gerais")</f>
      </c>
      <c r="C336" s="4" t="inlineStr">
        <is>
          <t>Não vendido</t>
        </is>
      </c>
      <c r="D336" s="4" t="inlineStr">
        <is>
          <t>1</t>
        </is>
      </c>
      <c r="E336" s="5" t="inlineStr">
        <is>
          <t>150,00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=HYPERLINK("https://www.leilaoonline.com.br/lote/detalhe/45172", "455")</f>
      </c>
      <c r="B337" s="4" t="s">
        <f>=HYPERLINK("https://www.leilaoonline.com.br/lote/detalhe/45172", "CD-124-2020 - APROX. 312 ITENS - Junta e vedações e outros - veja descritivo de itens  - LOC. Barão de Cocais/Minas Gerais")</f>
      </c>
      <c r="C337" s="4" t="inlineStr">
        <is>
          <t>Não vendido</t>
        </is>
      </c>
      <c r="D337" s="4" t="inlineStr">
        <is>
          <t>5</t>
        </is>
      </c>
      <c r="E337" s="5" t="inlineStr">
        <is>
          <t>550,00</t>
        </is>
      </c>
      <c r="F337" s="4" t="inlineStr">
        <is>
          <t>100.00</t>
        </is>
      </c>
    </row>
    <row collapsed="false" customFormat="false" customHeight="false" hidden="false" ht="12.1" outlineLevel="0" r="338">
      <c r="A338" s="5" t="s">
        <f>=HYPERLINK("https://www.leilaoonline.com.br/lote/detalhe/45174", "456")</f>
      </c>
      <c r="B338" s="4" t="s">
        <f>=HYPERLINK("https://www.leilaoonline.com.br/lote/detalhe/45174", "CD-125-2020 - 3 ITENS PARTES E PECAS: BIELA  - LOC. Barão de Cocais/Minas Gerais")</f>
      </c>
      <c r="C338" s="4" t="inlineStr">
        <is>
          <t>Não vendido</t>
        </is>
      </c>
      <c r="D338" s="4" t="inlineStr">
        <is>
          <t>3</t>
        </is>
      </c>
      <c r="E338" s="5" t="inlineStr">
        <is>
          <t>350,00</t>
        </is>
      </c>
      <c r="F338" s="4" t="inlineStr">
        <is>
          <t>100.00</t>
        </is>
      </c>
    </row>
    <row collapsed="false" customFormat="false" customHeight="false" hidden="false" ht="12.1" outlineLevel="0" r="339">
      <c r="A339" s="5" t="s">
        <f>=HYPERLINK("https://www.leilaoonline.com.br/lote/detalhe/45179", "457")</f>
      </c>
      <c r="B339" s="4" t="s">
        <f>=HYPERLINK("https://www.leilaoonline.com.br/lote/detalhe/45179", "CD-126-2020 - 35 ITENS Peças equipamentos pesados - veja descritivo de itens  - LOC. Barão de Cocais/Minas Gerais")</f>
      </c>
      <c r="C339" s="4" t="inlineStr">
        <is>
          <t>Vendido</t>
        </is>
      </c>
      <c r="D339" s="4" t="inlineStr">
        <is>
          <t>28</t>
        </is>
      </c>
      <c r="E339" s="5" t="inlineStr">
        <is>
          <t>3.350,00</t>
        </is>
      </c>
      <c r="F339" s="4" t="inlineStr">
        <is>
          <t>200.00</t>
        </is>
      </c>
    </row>
    <row collapsed="false" customFormat="false" customHeight="false" hidden="false" ht="12.1" outlineLevel="0" r="340">
      <c r="A340" s="5" t="s">
        <f>=HYPERLINK("https://www.leilaoonline.com.br/lote/detalhe/45180", "458")</f>
      </c>
      <c r="B340" s="4" t="s">
        <f>=HYPERLINK("https://www.leilaoonline.com.br/lote/detalhe/45180", "CD-127-2020 - 28 ELEMENTOS FILTRO  - LOC. Barão de Cocais/Minas Gerais")</f>
      </c>
      <c r="C340" s="4" t="inlineStr">
        <is>
          <t>Não vendido</t>
        </is>
      </c>
      <c r="D340" s="4" t="inlineStr">
        <is>
          <t>3</t>
        </is>
      </c>
      <c r="E340" s="5" t="inlineStr">
        <is>
          <t>350,00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=HYPERLINK("https://www.leilaoonline.com.br/lote/detalhe/45184", "459")</f>
      </c>
      <c r="B341" s="4" t="s">
        <f>=HYPERLINK("https://www.leilaoonline.com.br/lote/detalhe/45184", "CD-128-2020 - APROX. 168 ITENS Peças e acessorio de peneiras -veja descritivo de itens - LOC. Barão de Cocais/Minas Gerais")</f>
      </c>
      <c r="C341" s="4" t="inlineStr">
        <is>
          <t>Não vendido</t>
        </is>
      </c>
      <c r="D341" s="4" t="inlineStr">
        <is>
          <t>12</t>
        </is>
      </c>
      <c r="E341" s="5" t="inlineStr">
        <is>
          <t>1.250,00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=HYPERLINK("https://www.leilaoonline.com.br/lote/detalhe/45186", "460")</f>
      </c>
      <c r="B342" s="4" t="s">
        <f>=HYPERLINK("https://www.leilaoonline.com.br/lote/detalhe/45186", "CD-129-2020 - APROX. 600 ITENS Material solda - veja descritivo de itens  - LOC. Barão de Cocais/Minas Gerais")</f>
      </c>
      <c r="C342" s="4" t="inlineStr">
        <is>
          <t>Vendido</t>
        </is>
      </c>
      <c r="D342" s="4" t="inlineStr">
        <is>
          <t>33</t>
        </is>
      </c>
      <c r="E342" s="5" t="inlineStr">
        <is>
          <t>5.000,00</t>
        </is>
      </c>
      <c r="F342" s="4" t="inlineStr">
        <is>
          <t>250.00</t>
        </is>
      </c>
    </row>
    <row collapsed="false" customFormat="false" customHeight="false" hidden="false" ht="12.1" outlineLevel="0" r="343">
      <c r="A343" s="5" t="s">
        <f>=HYPERLINK("https://www.leilaoonline.com.br/lote/detalhe/52115", "461")</f>
      </c>
      <c r="B343" s="4" t="s">
        <f>=HYPERLINK("https://www.leilaoonline.com.br/lote/detalhe/52115", "SLS-MRO-031-2020- 1.072 ITENS DIVERSOS, ENGATE, CANTONEIRA E OUTROS- VEJA DESCRITIVO DE ITENS ")</f>
      </c>
      <c r="C343" s="4" t="inlineStr">
        <is>
          <t>Não vendido</t>
        </is>
      </c>
      <c r="D343" s="4" t="inlineStr">
        <is>
          <t>17</t>
        </is>
      </c>
      <c r="E343" s="5" t="inlineStr">
        <is>
          <t>1.900,00</t>
        </is>
      </c>
      <c r="F343" s="4" t="inlineStr">
        <is>
          <t>200.00</t>
        </is>
      </c>
    </row>
    <row collapsed="false" customFormat="false" customHeight="false" hidden="false" ht="12.1" outlineLevel="0" r="344">
      <c r="A344" s="5" t="s">
        <f>=HYPERLINK("https://www.leilaoonline.com.br/lote/detalhe/45252", "462")</f>
      </c>
      <c r="B344" s="4" t="s">
        <f>=HYPERLINK("https://www.leilaoonline.com.br/lote/detalhe/45252", "CD-130-2020 - 150 ITENS conexões de tubos - veja descritivo de itens  - LOC. Barão de Cocais/Minas Gerais")</f>
      </c>
      <c r="C344" s="4" t="inlineStr">
        <is>
          <t>Vendido</t>
        </is>
      </c>
      <c r="D344" s="4" t="inlineStr">
        <is>
          <t>7</t>
        </is>
      </c>
      <c r="E344" s="5" t="inlineStr">
        <is>
          <t>1.150,00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=HYPERLINK("https://www.leilaoonline.com.br/lote/detalhe/45215", "463")</f>
      </c>
      <c r="B345" s="4" t="s">
        <f>=HYPERLINK("https://www.leilaoonline.com.br/lote/detalhe/45215", "CD-131-2020 - 36 ITENS Peças P/ bomba E Outros - veja descritivo de itens  - LOC. Barão de Cocais/Minas Gerais")</f>
      </c>
      <c r="C345" s="4" t="inlineStr">
        <is>
          <t>Não vendido</t>
        </is>
      </c>
      <c r="D345" s="4" t="inlineStr">
        <is>
          <t>3</t>
        </is>
      </c>
      <c r="E345" s="5" t="inlineStr">
        <is>
          <t>350,00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=HYPERLINK("https://www.leilaoonline.com.br/lote/detalhe/45279", "464")</f>
      </c>
      <c r="B346" s="4" t="s">
        <f>=HYPERLINK("https://www.leilaoonline.com.br/lote/detalhe/45279", "CD-135-2020 - 1000 ITENS Materiais Eletricos, Conexões de tubos e Outros - veja descritivo de itens  - LOC. Barão de Cocais/Minas Gerais")</f>
      </c>
      <c r="C346" s="4" t="inlineStr">
        <is>
          <t>Não vendido</t>
        </is>
      </c>
      <c r="D346" s="4" t="inlineStr">
        <is>
          <t>5</t>
        </is>
      </c>
      <c r="E346" s="5" t="inlineStr">
        <is>
          <t>550,00</t>
        </is>
      </c>
      <c r="F346" s="4" t="inlineStr">
        <is>
          <t>100.00</t>
        </is>
      </c>
    </row>
    <row collapsed="false" customFormat="false" customHeight="false" hidden="false" ht="12.1" outlineLevel="0" r="347">
      <c r="A347" s="5" t="s">
        <f>=HYPERLINK("https://www.leilaoonline.com.br/lote/detalhe/45305", "465")</f>
      </c>
      <c r="B347" s="4" t="s">
        <f>=HYPERLINK("https://www.leilaoonline.com.br/lote/detalhe/45305", "CD-136-2020 - 300 ITENS Juntas e vendações, Peças P/ veiculos pesados e Outros - veja descritivo de itens - LOC. Barão de Cocais/Minas Gerais")</f>
      </c>
      <c r="C347" s="4" t="inlineStr">
        <is>
          <t>Não vendido</t>
        </is>
      </c>
      <c r="D347" s="4" t="inlineStr">
        <is>
          <t>8</t>
        </is>
      </c>
      <c r="E347" s="5" t="inlineStr">
        <is>
          <t>850,00</t>
        </is>
      </c>
      <c r="F347" s="4" t="inlineStr">
        <is>
          <t>100.00</t>
        </is>
      </c>
    </row>
    <row collapsed="false" customFormat="false" customHeight="false" hidden="false" ht="12.1" outlineLevel="0" r="348">
      <c r="A348" s="5" t="s">
        <f>=HYPERLINK("https://www.leilaoonline.com.br/lote/detalhe/52121", "466")</f>
      </c>
      <c r="B348" s="4" t="s">
        <f>=HYPERLINK("https://www.leilaoonline.com.br/lote/detalhe/52121", "SLS-MRO-026-2020- 6.232 ITENS DIVERSOS, CHAVETA, TRAVA COMPONENTE E OUTROS - VEJA DESCRITIVO DE ITENS")</f>
      </c>
      <c r="C348" s="4" t="inlineStr">
        <is>
          <t>Não vendido</t>
        </is>
      </c>
      <c r="D348" s="4" t="inlineStr">
        <is>
          <t>5</t>
        </is>
      </c>
      <c r="E348" s="5" t="inlineStr">
        <is>
          <t>950,00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=HYPERLINK("https://www.leilaoonline.com.br/lote/detalhe/45339", "467")</f>
      </c>
      <c r="B349" s="4" t="s">
        <f>=HYPERLINK("https://www.leilaoonline.com.br/lote/detalhe/45339", "CKS-MRO-009-2020 - 1.000 ITENS Uniformes corporativos, Segurança e proteção pessoal  - LOC. CARAJÁS/PA")</f>
      </c>
      <c r="C349" s="4" t="inlineStr">
        <is>
          <t>Não vendido</t>
        </is>
      </c>
      <c r="D349" s="4" t="inlineStr">
        <is>
          <t>34</t>
        </is>
      </c>
      <c r="E349" s="5" t="inlineStr">
        <is>
          <t>3.600,00</t>
        </is>
      </c>
      <c r="F349" s="4" t="inlineStr">
        <is>
          <t>200.00</t>
        </is>
      </c>
    </row>
    <row collapsed="false" customFormat="false" customHeight="false" hidden="false" ht="12.1" outlineLevel="0" r="350">
      <c r="A350" s="5" t="s">
        <f>=HYPERLINK("https://www.leilaoonline.com.br/lote/detalhe/45341", "469")</f>
      </c>
      <c r="B350" s="4" t="s">
        <f>=HYPERLINK("https://www.leilaoonline.com.br/lote/detalhe/45341", "GOV-001-2020 - 240 ITENS REBOLO ANEL NORTON - LOC. NOVA ERA/MG")</f>
      </c>
      <c r="C350" s="4" t="inlineStr">
        <is>
          <t>Não vendido</t>
        </is>
      </c>
      <c r="D350" s="4" t="inlineStr">
        <is>
          <t>8</t>
        </is>
      </c>
      <c r="E350" s="5" t="inlineStr">
        <is>
          <t>1.000,00</t>
        </is>
      </c>
      <c r="F350" s="4" t="inlineStr">
        <is>
          <t>100.00</t>
        </is>
      </c>
    </row>
    <row collapsed="false" customFormat="false" customHeight="false" hidden="false" ht="12.1" outlineLevel="0" r="351">
      <c r="A351" s="5" t="s">
        <f>=HYPERLINK("https://www.leilaoonline.com.br/lote/detalhe/52124", "469")</f>
      </c>
      <c r="B351" s="4" t="s">
        <f>=HYPERLINK("https://www.leilaoonline.com.br/lote/detalhe/52124", "SLS-MRO-023-2020- 62 ITENS, PLACAS DESGASTE DIVERSAS - VEJA DESCRITIVO DE ITENS ")</f>
      </c>
      <c r="C351" s="4" t="inlineStr">
        <is>
          <t>Não vendido</t>
        </is>
      </c>
      <c r="D351" s="4" t="inlineStr">
        <is>
          <t>1</t>
        </is>
      </c>
      <c r="E351" s="5" t="inlineStr">
        <is>
          <t>350,00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=HYPERLINK("https://www.leilaoonline.com.br/lote/detalhe/45346", "470")</f>
      </c>
      <c r="B352" s="4" t="s">
        <f>=HYPERLINK("https://www.leilaoonline.com.br/lote/detalhe/45346", "GOV-002-2020 - 100 ITENS Material elétrico, Juntas e vedações e Outros - veja descritivo de itens  - LOC. NOVA ERA/MG")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300,00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=HYPERLINK("https://www.leilaoonline.com.br/lote/detalhe/52139", "472")</f>
      </c>
      <c r="B353" s="4" t="s">
        <f>=HYPERLINK("https://www.leilaoonline.com.br/lote/detalhe/52139", "SLS-MRO-019-2020- 07 ITENS, TAMBORES, CABOS - VEJA DESCRITIVOA DE ITENS ")</f>
      </c>
      <c r="C353" s="4" t="inlineStr">
        <is>
          <t>Não vendido</t>
        </is>
      </c>
      <c r="D353" s="4" t="inlineStr">
        <is>
          <t>23</t>
        </is>
      </c>
      <c r="E353" s="5" t="inlineStr">
        <is>
          <t>3.650,00</t>
        </is>
      </c>
      <c r="F353" s="4" t="inlineStr">
        <is>
          <t>250.00</t>
        </is>
      </c>
    </row>
    <row collapsed="false" customFormat="false" customHeight="false" hidden="false" ht="12.1" outlineLevel="0" r="354">
      <c r="A354" s="5" t="s">
        <f>=HYPERLINK("https://www.leilaoonline.com.br/lote/detalhe/52140", "473")</f>
      </c>
      <c r="B354" s="4" t="s">
        <f>=HYPERLINK("https://www.leilaoonline.com.br/lote/detalhe/52140", "SLS-MRO-018-2020 -25.829 ITENS DIVERSOS, FILTROS, MANGUEIRAS , MATERIAIS ELETRICOS E OUTROS - VEJA DESCRITIVO DE ITENS ")</f>
      </c>
      <c r="C354" s="4" t="inlineStr">
        <is>
          <t>Vendido</t>
        </is>
      </c>
      <c r="D354" s="4" t="inlineStr">
        <is>
          <t>51</t>
        </is>
      </c>
      <c r="E354" s="5" t="inlineStr">
        <is>
          <t>10.700,00</t>
        </is>
      </c>
      <c r="F354" s="4" t="inlineStr">
        <is>
          <t>250.00</t>
        </is>
      </c>
    </row>
    <row collapsed="false" customFormat="false" customHeight="false" hidden="false" ht="12.1" outlineLevel="0" r="355">
      <c r="A355" s="5" t="s">
        <f>=HYPERLINK("https://www.leilaoonline.com.br/lote/detalhe/52141", "474")</f>
      </c>
      <c r="B355" s="4" t="s">
        <f>=HYPERLINK("https://www.leilaoonline.com.br/lote/detalhe/52141", "SLS-MRO-017-2020- 144 ITENS DIVERSOS, SUPORTE COMPONENTE, EIXOS, PINOS E OUTROS - VEJA DESCRITIVO DE ITENS ")</f>
      </c>
      <c r="C355" s="4" t="inlineStr">
        <is>
          <t>Não vendido</t>
        </is>
      </c>
      <c r="D355" s="4" t="inlineStr">
        <is>
          <t>5</t>
        </is>
      </c>
      <c r="E355" s="5" t="inlineStr">
        <is>
          <t>950,00</t>
        </is>
      </c>
      <c r="F355" s="4" t="inlineStr">
        <is>
          <t>150.00</t>
        </is>
      </c>
    </row>
    <row collapsed="false" customFormat="false" customHeight="false" hidden="false" ht="12.1" outlineLevel="0" r="356">
      <c r="A356" s="5" t="s">
        <f>=HYPERLINK("https://www.leilaoonline.com.br/lote/detalhe/52143", "476")</f>
      </c>
      <c r="B356" s="4" t="s">
        <f>=HYPERLINK("https://www.leilaoonline.com.br/lote/detalhe/52143", "SLS-MRO-015-2020-142 ITENS DIVERSOS, EIXO, CAIXA COMPONENTE E OUTROS - VEJA DESCRITIVO DE ITENS ")</f>
      </c>
      <c r="C356" s="4" t="inlineStr">
        <is>
          <t>Não vendido</t>
        </is>
      </c>
      <c r="D356" s="4" t="inlineStr">
        <is>
          <t>41</t>
        </is>
      </c>
      <c r="E356" s="5" t="inlineStr">
        <is>
          <t>6.950,00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=HYPERLINK("https://www.leilaoonline.com.br/lote/detalhe/52144", "477")</f>
      </c>
      <c r="B357" s="4" t="s">
        <f>=HYPERLINK("https://www.leilaoonline.com.br/lote/detalhe/52144", "SLS-MRO-013-2020- 4.208 ITENS DIVERSOS, REGULADOR COMPONENTE, FILTRO FLUIDO , MANTA E OUTROS- VEJA DESCRITIVO DE ITENS ")</f>
      </c>
      <c r="C357" s="4" t="inlineStr">
        <is>
          <t>Não vendido</t>
        </is>
      </c>
      <c r="D357" s="4" t="inlineStr">
        <is>
          <t>5</t>
        </is>
      </c>
      <c r="E357" s="5" t="inlineStr">
        <is>
          <t>950,00</t>
        </is>
      </c>
      <c r="F357" s="4" t="inlineStr">
        <is>
          <t>150.00</t>
        </is>
      </c>
    </row>
    <row collapsed="false" customFormat="false" customHeight="false" hidden="false" ht="12.1" outlineLevel="0" r="358">
      <c r="A358" s="5" t="s">
        <f>=HYPERLINK("https://www.leilaoonline.com.br/lote/detalhe/52145", "478")</f>
      </c>
      <c r="B358" s="4" t="s">
        <f>=HYPERLINK("https://www.leilaoonline.com.br/lote/detalhe/52145", "SLS-MRO-011-2020- 778 ITENS DIVERSOS, BOTÃO COMANDO, VALVULA REDUTORA, AMORTECEDOR E OUTROS - VEJA DESCRITIVO DE ITENS ")</f>
      </c>
      <c r="C358" s="4" t="inlineStr">
        <is>
          <t>Não vendido</t>
        </is>
      </c>
      <c r="D358" s="4" t="inlineStr">
        <is>
          <t>42</t>
        </is>
      </c>
      <c r="E358" s="5" t="inlineStr">
        <is>
          <t>6.650,00</t>
        </is>
      </c>
      <c r="F358" s="4" t="inlineStr">
        <is>
          <t>250.00</t>
        </is>
      </c>
    </row>
    <row collapsed="false" customFormat="false" customHeight="false" hidden="false" ht="12.1" outlineLevel="0" r="359">
      <c r="A359" s="5" t="s">
        <f>=HYPERLINK("https://www.leilaoonline.com.br/lote/detalhe/52076", "481")</f>
      </c>
      <c r="B359" s="4" t="s">
        <f>=HYPERLINK("https://www.leilaoonline.com.br/lote/detalhe/52076", "MUT-031-2020 -6 ITENS - Notebook, Impressora termica  E OUTROS - VEJA DESCRITIVO DE ITENS")</f>
      </c>
      <c r="C359" s="4" t="inlineStr">
        <is>
          <t>Não vendido</t>
        </is>
      </c>
      <c r="D359" s="4" t="inlineStr">
        <is>
          <t>2</t>
        </is>
      </c>
      <c r="E359" s="5" t="inlineStr">
        <is>
          <t>1.500,00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=HYPERLINK("https://www.leilaoonline.com.br/lote/detalhe/52077", "482")</f>
      </c>
      <c r="B360" s="4" t="s">
        <f>=HYPERLINK("https://www.leilaoonline.com.br/lote/detalhe/52077", "MUT-032-2020 - APROX. 3707 ITENS - Conjunto de parafusos, Peças e acessórios de filtros E OUTROS - VEJA DESCRITIVO DE ITENS")</f>
      </c>
      <c r="C360" s="4" t="inlineStr">
        <is>
          <t>Vendido</t>
        </is>
      </c>
      <c r="D360" s="4" t="inlineStr">
        <is>
          <t>2</t>
        </is>
      </c>
      <c r="E360" s="5" t="inlineStr">
        <is>
          <t>600,00</t>
        </is>
      </c>
      <c r="F360" s="4" t="inlineStr">
        <is>
          <t>100.00</t>
        </is>
      </c>
    </row>
    <row collapsed="false" customFormat="false" customHeight="false" hidden="false" ht="12.1" outlineLevel="0" r="361">
      <c r="A361" s="5" t="s">
        <f>=HYPERLINK("https://www.leilaoonline.com.br/lote/detalhe/52109", "484")</f>
      </c>
      <c r="B361" s="4" t="s">
        <f>=HYPERLINK("https://www.leilaoonline.com.br/lote/detalhe/52109", "PIC-216-2020 - APROX. 73 ITENS - BOMBA ENGRENAGEM, DIAFRAGMA PARA ATUADOR E OUTROS - VEJA DESCRITIVO DE ITENS")</f>
      </c>
      <c r="C361" s="4" t="inlineStr">
        <is>
          <t>Não vendido</t>
        </is>
      </c>
      <c r="D361" s="4" t="inlineStr">
        <is>
          <t>2</t>
        </is>
      </c>
      <c r="E361" s="5" t="inlineStr">
        <is>
          <t>600,00</t>
        </is>
      </c>
      <c r="F361" s="4" t="inlineStr">
        <is>
          <t>100.00</t>
        </is>
      </c>
    </row>
    <row collapsed="false" customFormat="false" customHeight="false" hidden="false" ht="12.1" outlineLevel="0" r="362">
      <c r="A362" s="5" t="s">
        <f>=HYPERLINK("https://www.leilaoonline.com.br/lote/detalhe/52110", "485")</f>
      </c>
      <c r="B362" s="4" t="s">
        <f>=HYPERLINK("https://www.leilaoonline.com.br/lote/detalhe/52110", "PIC-218-2020 - 24 ITENS - TRANSMISSOR, PLACA COMPONENTE E OUTROS  VEJA DESCRITIVO DE ITENS")</f>
      </c>
      <c r="C362" s="4" t="inlineStr">
        <is>
          <t>Vendido</t>
        </is>
      </c>
      <c r="D362" s="4" t="inlineStr">
        <is>
          <t>37</t>
        </is>
      </c>
      <c r="E362" s="5" t="inlineStr">
        <is>
          <t>4.850,00</t>
        </is>
      </c>
      <c r="F362" s="4" t="inlineStr">
        <is>
          <t>250.00</t>
        </is>
      </c>
    </row>
    <row collapsed="false" customFormat="false" customHeight="false" hidden="false" ht="12.1" outlineLevel="0" r="363">
      <c r="A363" s="5" t="s">
        <f>=HYPERLINK("https://www.leilaoonline.com.br/lote/detalhe/52111", "486")</f>
      </c>
      <c r="B363" s="4" t="s">
        <f>=HYPERLINK("https://www.leilaoonline.com.br/lote/detalhe/52111", "PIC-219-2020 - 32 ITENS - INDUTOR COMPONENTE, PARTES E PECAS EQUIP DIVERSOS E OUTROS - VEJA DESCRITIVO DE ITENS ")</f>
      </c>
      <c r="C363" s="4" t="inlineStr">
        <is>
          <t>Não vendido</t>
        </is>
      </c>
      <c r="D363" s="4" t="inlineStr">
        <is>
          <t>2</t>
        </is>
      </c>
      <c r="E363" s="5" t="inlineStr">
        <is>
          <t>600,00</t>
        </is>
      </c>
      <c r="F363" s="4" t="inlineStr">
        <is>
          <t>100.00</t>
        </is>
      </c>
    </row>
    <row collapsed="false" customFormat="false" customHeight="false" hidden="false" ht="12.1" outlineLevel="0" r="364">
      <c r="A364" s="5" t="s">
        <f>=HYPERLINK("https://www.leilaoonline.com.br/lote/detalhe/52112", "487")</f>
      </c>
      <c r="B364" s="4" t="s">
        <f>=HYPERLINK("https://www.leilaoonline.com.br/lote/detalhe/52112", "SIS-001-2020 - 1 ITEM - CILINDRO P/ MASSAS C/ PEDESTAL SAE 1020")</f>
      </c>
      <c r="C364" s="4" t="inlineStr">
        <is>
          <t>Não vendido</t>
        </is>
      </c>
      <c r="D364" s="4" t="inlineStr">
        <is>
          <t>2</t>
        </is>
      </c>
      <c r="E364" s="5" t="inlineStr">
        <is>
          <t>600,00</t>
        </is>
      </c>
      <c r="F364" s="4" t="inlineStr">
        <is>
          <t>100.00</t>
        </is>
      </c>
    </row>
    <row collapsed="false" customFormat="false" customHeight="false" hidden="false" ht="12.1" outlineLevel="0" r="365">
      <c r="A365" s="5" t="s">
        <f>=HYPERLINK("https://www.leilaoonline.com.br/lote/detalhe/52113", "488")</f>
      </c>
      <c r="B365" s="4" t="s">
        <f>=HYPERLINK("https://www.leilaoonline.com.br/lote/detalhe/52113", "SIS-002-2020 - 1 SUQUEIRA INDUSTRIAL 100L - BEGEL E 1 GELADEIRA INDUSTRIAL 4 PORTAS")</f>
      </c>
      <c r="C365" s="4" t="inlineStr">
        <is>
          <t>Não vendido</t>
        </is>
      </c>
      <c r="D365" s="4" t="inlineStr">
        <is>
          <t>1</t>
        </is>
      </c>
      <c r="E365" s="5" t="inlineStr">
        <is>
          <t>500,00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=HYPERLINK("https://www.leilaoonline.com.br/lote/detalhe/52114", "489")</f>
      </c>
      <c r="B366" s="4" t="s">
        <f>=HYPERLINK("https://www.leilaoonline.com.br/lote/detalhe/52114", "SLB-001-2020 - APROX. 168 ITENS - PARTES E PECAS EQUIPAMENTOS DIVERSOS - VEJA DESCRITIVO DE ITENS")</f>
      </c>
      <c r="C366" s="4" t="inlineStr">
        <is>
          <t>Não vendido</t>
        </is>
      </c>
      <c r="D366" s="4" t="inlineStr">
        <is>
          <t>2</t>
        </is>
      </c>
      <c r="E366" s="5" t="inlineStr">
        <is>
          <t>600,00</t>
        </is>
      </c>
      <c r="F366" s="4" t="inlineStr">
        <is>
          <t>100.00</t>
        </is>
      </c>
    </row>
    <row collapsed="false" customFormat="false" customHeight="false" hidden="false" ht="12.1" outlineLevel="0" r="367">
      <c r="A367" s="5" t="s">
        <f>=HYPERLINK("https://www.leilaoonline.com.br/lote/detalhe/52116", "490")</f>
      </c>
      <c r="B367" s="4" t="s">
        <f>=HYPERLINK("https://www.leilaoonline.com.br/lote/detalhe/52116", "SLB-002-2020 - APROX. 88 ITENS - PARTES E PECAS EQUIPAMENTOS DIVERSOS, SENSOR COMPONENTE E OUTROS - VEJA DESCRITIVO DE ITENS")</f>
      </c>
      <c r="C367" s="4" t="inlineStr">
        <is>
          <t>Não vendido</t>
        </is>
      </c>
      <c r="D367" s="4" t="inlineStr">
        <is>
          <t>1</t>
        </is>
      </c>
      <c r="E367" s="5" t="inlineStr">
        <is>
          <t>500,00</t>
        </is>
      </c>
      <c r="F367" s="4" t="inlineStr">
        <is>
          <t>100.00</t>
        </is>
      </c>
    </row>
    <row collapsed="false" customFormat="false" customHeight="false" hidden="false" ht="12.1" outlineLevel="0" r="368">
      <c r="A368" s="5" t="s">
        <f>=HYPERLINK("https://www.leilaoonline.com.br/lote/detalhe/52127", "491")</f>
      </c>
      <c r="B368" s="4" t="s">
        <f>=HYPERLINK("https://www.leilaoonline.com.br/lote/detalhe/52127", "SLB-003-2020 - APROX. 96 ITENS - SENSOR COMPONENTE, VALVULA COMPONENTE E OUTROS - VEJA DESCRITIVO DE ITENS")</f>
      </c>
      <c r="C368" s="4" t="inlineStr">
        <is>
          <t>Não vendido</t>
        </is>
      </c>
      <c r="D368" s="4" t="inlineStr">
        <is>
          <t>1</t>
        </is>
      </c>
      <c r="E368" s="5" t="inlineStr">
        <is>
          <t>500,00</t>
        </is>
      </c>
      <c r="F368" s="4" t="inlineStr">
        <is>
          <t>100.00</t>
        </is>
      </c>
    </row>
    <row collapsed="false" customFormat="false" customHeight="false" hidden="false" ht="12.1" outlineLevel="0" r="369">
      <c r="A369" s="5" t="s">
        <f>=HYPERLINK("https://www.leilaoonline.com.br/lote/detalhe/52128", "492")</f>
      </c>
      <c r="B369" s="4" t="s">
        <f>=HYPERLINK("https://www.leilaoonline.com.br/lote/detalhe/52128", "SLB-004-2020 - 34 ITENS - PARTES E PECAS EQUIP DIVERSOS, SENSOR COMPONENTE E OUTROS - VEJA DESCRITIVO DE ITENS ")</f>
      </c>
      <c r="C369" s="4" t="inlineStr">
        <is>
          <t>Não vendido</t>
        </is>
      </c>
      <c r="D369" s="4" t="inlineStr">
        <is>
          <t>1</t>
        </is>
      </c>
      <c r="E369" s="5" t="inlineStr">
        <is>
          <t>500,00</t>
        </is>
      </c>
      <c r="F369" s="4" t="inlineStr">
        <is>
          <t>100.00</t>
        </is>
      </c>
    </row>
    <row collapsed="false" customFormat="false" customHeight="false" hidden="false" ht="12.1" outlineLevel="0" r="370">
      <c r="A370" s="5" t="s">
        <f>=HYPERLINK("https://www.leilaoonline.com.br/lote/detalhe/52129", "493")</f>
      </c>
      <c r="B370" s="4" t="s">
        <f>=HYPERLINK("https://www.leilaoonline.com.br/lote/detalhe/52129", "SLB-005-2020 - APROX. 776 - PARTES E PECAS EQUIP DIVERSOS, VALVULA COMPONENTE e outros - VEJA DESCRITIVO DE ITENS")</f>
      </c>
      <c r="C370" s="4" t="inlineStr">
        <is>
          <t>Não vendido</t>
        </is>
      </c>
      <c r="D370" s="4" t="inlineStr">
        <is>
          <t>1</t>
        </is>
      </c>
      <c r="E370" s="5" t="inlineStr">
        <is>
          <t>500,00</t>
        </is>
      </c>
      <c r="F370" s="4" t="inlineStr">
        <is>
          <t>100.00</t>
        </is>
      </c>
    </row>
    <row collapsed="false" customFormat="false" customHeight="false" hidden="false" ht="12.1" outlineLevel="0" r="371">
      <c r="A371" s="5" t="s">
        <f>=HYPERLINK("https://www.leilaoonline.com.br/lote/detalhe/52130", "494")</f>
      </c>
      <c r="B371" s="4" t="s">
        <f>=HYPERLINK("https://www.leilaoonline.com.br/lote/detalhe/52130", "SLB-006-2020 - APROX. 161 ITENS - PARTES E PECAS, SENSOR COMPONENTE E OUTROS - VEJA DESCRITIVO DE ITENS")</f>
      </c>
      <c r="C371" s="4" t="inlineStr">
        <is>
          <t>Não vendido</t>
        </is>
      </c>
      <c r="D371" s="4" t="inlineStr">
        <is>
          <t>3</t>
        </is>
      </c>
      <c r="E371" s="5" t="inlineStr">
        <is>
          <t>700,00</t>
        </is>
      </c>
      <c r="F371" s="4" t="inlineStr">
        <is>
          <t>100.00</t>
        </is>
      </c>
    </row>
    <row collapsed="false" customFormat="false" customHeight="false" hidden="false" ht="12.1" outlineLevel="0" r="372">
      <c r="A372" s="5" t="s">
        <f>=HYPERLINK("https://www.leilaoonline.com.br/lote/detalhe/52131", "495")</f>
      </c>
      <c r="B372" s="4" t="s">
        <f>=HYPERLINK("https://www.leilaoonline.com.br/lote/detalhe/52131", "SLB-007-2020 - APROX. 73 ITENS - PARTES E PECAS EQUIPAMENTOS DIVERSOS, SENSOR COMPONENTE E OUTROS - VEJA DESCRITIVO DE ITENS")</f>
      </c>
      <c r="C372" s="4" t="inlineStr">
        <is>
          <t>Não vendido</t>
        </is>
      </c>
      <c r="D372" s="4" t="inlineStr">
        <is>
          <t>2</t>
        </is>
      </c>
      <c r="E372" s="5" t="inlineStr">
        <is>
          <t>600,00</t>
        </is>
      </c>
      <c r="F372" s="4" t="inlineStr">
        <is>
          <t>100.00</t>
        </is>
      </c>
    </row>
    <row collapsed="false" customFormat="false" customHeight="false" hidden="false" ht="12.1" outlineLevel="0" r="373">
      <c r="A373" s="5" t="s">
        <f>=HYPERLINK("https://www.leilaoonline.com.br/lote/detalhe/52132", "496")</f>
      </c>
      <c r="B373" s="4" t="s">
        <f>=HYPERLINK("https://www.leilaoonline.com.br/lote/detalhe/52132", "SLB-008-2020 - APROX. 128 ITENS - PARTES E PECAS EQUIPAMENTOS DIVERSOS, Peças e acessórios de sonda e perfuratriz E OUTROS - VEJA DESCRITIVO DE ITENS")</f>
      </c>
      <c r="C373" s="4" t="inlineStr">
        <is>
          <t>Não vendido</t>
        </is>
      </c>
      <c r="D373" s="4" t="inlineStr">
        <is>
          <t>5</t>
        </is>
      </c>
      <c r="E373" s="5" t="inlineStr">
        <is>
          <t>900,00</t>
        </is>
      </c>
      <c r="F373" s="4" t="inlineStr">
        <is>
          <t>100.00</t>
        </is>
      </c>
    </row>
    <row collapsed="false" customFormat="false" customHeight="false" hidden="false" ht="12.1" outlineLevel="0" r="374">
      <c r="A374" s="5" t="s">
        <f>=HYPERLINK("https://www.leilaoonline.com.br/lote/detalhe/52135", "499")</f>
      </c>
      <c r="B374" s="4" t="s">
        <f>=HYPERLINK("https://www.leilaoonline.com.br/lote/detalhe/52135", "SLB-011-2020 - APROX. 49 ITENS - Transmissores de força mecânica, Fixadores diversos - VEJA DESCRITIVO DE ITENS ")</f>
      </c>
      <c r="C374" s="4" t="inlineStr">
        <is>
          <t>Não vendido</t>
        </is>
      </c>
      <c r="D374" s="4" t="inlineStr">
        <is>
          <t>1</t>
        </is>
      </c>
      <c r="E374" s="5" t="inlineStr">
        <is>
          <t>500,00</t>
        </is>
      </c>
      <c r="F374" s="4" t="inlineStr">
        <is>
          <t>100.00</t>
        </is>
      </c>
    </row>
    <row collapsed="false" customFormat="false" customHeight="false" hidden="false" ht="12.1" outlineLevel="0" r="375">
      <c r="A375" s="5" t="s">
        <f>=HYPERLINK("https://www.leilaoonline.com.br/lote/detalhe/45343", "501")</f>
      </c>
      <c r="B375" s="4" t="s">
        <f>=HYPERLINK("https://www.leilaoonline.com.br/lote/detalhe/45343", "082-007-2020 - 19 ITENS DIVERSOS, FILTRO, ELEMENTO - veja descritivo de itens - LOC. VITORIA/ES ")</f>
      </c>
      <c r="C375" s="4" t="inlineStr">
        <is>
          <t>Não vendido</t>
        </is>
      </c>
      <c r="D375" s="4" t="inlineStr">
        <is>
          <t>1</t>
        </is>
      </c>
      <c r="E375" s="5" t="inlineStr">
        <is>
          <t>300,00</t>
        </is>
      </c>
      <c r="F375" s="4" t="inlineStr">
        <is>
          <t>100.00</t>
        </is>
      </c>
    </row>
    <row collapsed="false" customFormat="false" customHeight="false" hidden="false" ht="12.1" outlineLevel="0" r="376">
      <c r="A376" s="5" t="s">
        <f>=HYPERLINK("https://www.leilaoonline.com.br/lote/detalhe/45344", "502")</f>
      </c>
      <c r="B376" s="4" t="s">
        <f>=HYPERLINK("https://www.leilaoonline.com.br/lote/detalhe/45344", "082-008-2020 - 515 ITENS DIVERSOS, AGITADOR, MODULO ELET, ANEIS E OUTROS- VEJA DESCRITIVO DE ITENS ")</f>
      </c>
      <c r="C376" s="4" t="inlineStr">
        <is>
          <t>Não vendido</t>
        </is>
      </c>
      <c r="D376" s="4" t="inlineStr">
        <is>
          <t>4</t>
        </is>
      </c>
      <c r="E376" s="5" t="inlineStr">
        <is>
          <t>600,00</t>
        </is>
      </c>
      <c r="F376" s="4" t="inlineStr">
        <is>
          <t>100.00</t>
        </is>
      </c>
    </row>
    <row collapsed="false" customFormat="false" customHeight="false" hidden="false" ht="12.1" outlineLevel="0" r="377">
      <c r="A377" s="5" t="s">
        <f>=HYPERLINK("https://www.leilaoonline.com.br/lote/detalhe/45345", "503")</f>
      </c>
      <c r="B377" s="4" t="s">
        <f>=HYPERLINK("https://www.leilaoonline.com.br/lote/detalhe/45345", "CD-139-2020 - 20 PÇAS E PARTES, FREIO ELETROMAGNETICO LOC. BARÃO DE COCAIS /MG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300,00</t>
        </is>
      </c>
      <c r="F377" s="4" t="inlineStr">
        <is>
          <t>100.00</t>
        </is>
      </c>
    </row>
    <row collapsed="false" customFormat="false" customHeight="false" hidden="false" ht="12.1" outlineLevel="0" r="378">
      <c r="A378" s="5" t="s">
        <f>=HYPERLINK("https://www.leilaoonline.com.br/lote/detalhe/45350", "504")</f>
      </c>
      <c r="B378" s="4" t="s">
        <f>=HYPERLINK("https://www.leilaoonline.com.br/lote/detalhe/45350", "PIC-196-2020- 210 ITENS, PARAFUSOS E OUTROS - veja descritivo de itens - LOC. Itabirito / Minas Gerais ")</f>
      </c>
      <c r="C378" s="4" t="inlineStr">
        <is>
          <t>Não vendido</t>
        </is>
      </c>
      <c r="D378" s="4" t="inlineStr">
        <is>
          <t>1</t>
        </is>
      </c>
      <c r="E378" s="5" t="inlineStr">
        <is>
          <t>300,00</t>
        </is>
      </c>
      <c r="F378" s="4" t="inlineStr">
        <is>
          <t>100.00</t>
        </is>
      </c>
    </row>
    <row collapsed="false" customFormat="false" customHeight="false" hidden="false" ht="12.1" outlineLevel="0" r="379">
      <c r="A379" s="5" t="s">
        <f>=HYPERLINK("https://www.leilaoonline.com.br/lote/detalhe/45351", "505")</f>
      </c>
      <c r="B379" s="4" t="s">
        <f>=HYPERLINK("https://www.leilaoonline.com.br/lote/detalhe/45351", "PIC-197-2020 - 38 ITENS, DISJUNTORES - veja descritivo de itens - LOC. Itabirito / Minas Gerais ")</f>
      </c>
      <c r="C379" s="4" t="inlineStr">
        <is>
          <t>Vendido</t>
        </is>
      </c>
      <c r="D379" s="4" t="inlineStr">
        <is>
          <t>7</t>
        </is>
      </c>
      <c r="E379" s="5" t="inlineStr">
        <is>
          <t>900,00</t>
        </is>
      </c>
      <c r="F379" s="4" t="inlineStr">
        <is>
          <t>100.00</t>
        </is>
      </c>
    </row>
    <row collapsed="false" customFormat="false" customHeight="false" hidden="false" ht="12.1" outlineLevel="0" r="380">
      <c r="A380" s="5" t="s">
        <f>=HYPERLINK("https://www.leilaoonline.com.br/lote/detalhe/45352", "506")</f>
      </c>
      <c r="B380" s="4" t="s">
        <f>=HYPERLINK("https://www.leilaoonline.com.br/lote/detalhe/45352", "PIC-198-2020- 438 ITENS, BICOS, TRAVAS E OUTROS - veja descritivo de itens - LOC. Itabirito / Minas Gerais ")</f>
      </c>
      <c r="C380" s="4" t="inlineStr">
        <is>
          <t>Não vendido</t>
        </is>
      </c>
      <c r="D380" s="4" t="inlineStr">
        <is>
          <t>2</t>
        </is>
      </c>
      <c r="E380" s="5" t="inlineStr">
        <is>
          <t>400,00</t>
        </is>
      </c>
      <c r="F380" s="4" t="inlineStr">
        <is>
          <t>100.00</t>
        </is>
      </c>
    </row>
    <row collapsed="false" customFormat="false" customHeight="false" hidden="false" ht="12.1" outlineLevel="0" r="381">
      <c r="A381" s="5" t="s">
        <f>=HYPERLINK("https://www.leilaoonline.com.br/lote/detalhe/45353", "507")</f>
      </c>
      <c r="B381" s="4" t="s">
        <f>=HYPERLINK("https://www.leilaoonline.com.br/lote/detalhe/45353", "PIC-199-2020 - 20 ITENS , VEDAÇÃO, GUARNIÇÃO, ANEIS E OUTROS - veja descritivo de itens - LOC. Itabirito / Minas Gerais ")</f>
      </c>
      <c r="C381" s="4" t="inlineStr">
        <is>
          <t>Vendido</t>
        </is>
      </c>
      <c r="D381" s="4" t="inlineStr">
        <is>
          <t>1</t>
        </is>
      </c>
      <c r="E381" s="5" t="inlineStr">
        <is>
          <t>300,00</t>
        </is>
      </c>
      <c r="F381" s="4" t="inlineStr">
        <is>
          <t>100.00</t>
        </is>
      </c>
    </row>
    <row collapsed="false" customFormat="false" customHeight="false" hidden="false" ht="12.1" outlineLevel="0" r="382">
      <c r="A382" s="5" t="s">
        <f>=HYPERLINK("https://www.leilaoonline.com.br/lote/detalhe/45354", "508")</f>
      </c>
      <c r="B382" s="4" t="s">
        <f>=HYPERLINK("https://www.leilaoonline.com.br/lote/detalhe/45354", "PIC-200-2020 - 100 ITENS, ANEIS, VEDAÇÃO PLANA E OUTROS - veja descritivo de itens LOC. Itabirito / Minas Gerais 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300,00</t>
        </is>
      </c>
      <c r="F382" s="4" t="inlineStr">
        <is>
          <t>100.00</t>
        </is>
      </c>
    </row>
    <row collapsed="false" customFormat="false" customHeight="false" hidden="false" ht="12.1" outlineLevel="0" r="383">
      <c r="A383" s="5" t="s">
        <f>=HYPERLINK("https://www.leilaoonline.com.br/lote/detalhe/45355", "509")</f>
      </c>
      <c r="B383" s="4" t="s">
        <f>=HYPERLINK("https://www.leilaoonline.com.br/lote/detalhe/45355", "PIC-201-2020 - 100 ITENS , VEDAÇÃO, JUNTA. E OUTROS - veja descritivo de itens - LOC. Itabirito / Minas Gerais ")</f>
      </c>
      <c r="C383" s="4" t="inlineStr">
        <is>
          <t>Vendido</t>
        </is>
      </c>
      <c r="D383" s="4" t="inlineStr">
        <is>
          <t>1</t>
        </is>
      </c>
      <c r="E383" s="5" t="inlineStr">
        <is>
          <t>300,00</t>
        </is>
      </c>
      <c r="F383" s="4" t="inlineStr">
        <is>
          <t>100.00</t>
        </is>
      </c>
    </row>
    <row collapsed="false" customFormat="false" customHeight="false" hidden="false" ht="12.1" outlineLevel="0" r="384">
      <c r="A384" s="5" t="s">
        <f>=HYPERLINK("https://www.leilaoonline.com.br/lote/detalhe/45356", "510")</f>
      </c>
      <c r="B384" s="4" t="s">
        <f>=HYPERLINK("https://www.leilaoonline.com.br/lote/detalhe/45356", "PIC-202-2020- 25 ITENS, LUVA ,ANEL E OUTROS - veja descritivo de itens - LOC. Itabirito / Minas Gerais 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300,00</t>
        </is>
      </c>
      <c r="F384" s="4" t="inlineStr">
        <is>
          <t>100.00</t>
        </is>
      </c>
    </row>
    <row collapsed="false" customFormat="false" customHeight="false" hidden="false" ht="12.1" outlineLevel="0" r="385">
      <c r="A385" s="5" t="s">
        <f>=HYPERLINK("https://www.leilaoonline.com.br/lote/detalhe/45357", "511")</f>
      </c>
      <c r="B385" s="4" t="s">
        <f>=HYPERLINK("https://www.leilaoonline.com.br/lote/detalhe/45357", "PIC-203-2020- 03 ITENS, TAMPA, MANCAL - veja descritivo de itens -LOC. Itabirito / Minas Gerais 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300,00</t>
        </is>
      </c>
      <c r="F385" s="4" t="inlineStr">
        <is>
          <t>100.00</t>
        </is>
      </c>
    </row>
    <row collapsed="false" customFormat="false" customHeight="false" hidden="false" ht="12.1" outlineLevel="0" r="386">
      <c r="A386" s="5" t="s">
        <f>=HYPERLINK("https://www.leilaoonline.com.br/lote/detalhe/45358", "512")</f>
      </c>
      <c r="B386" s="4" t="s">
        <f>=HYPERLINK("https://www.leilaoonline.com.br/lote/detalhe/45358", "PIC-204-2020- 181 ITENS, GARRA, LAMPADA E OUTROS - veja descritivo de itens - LOC. Itabirito / Minas Gerais ")</f>
      </c>
      <c r="C386" s="4" t="inlineStr">
        <is>
          <t>Vendido</t>
        </is>
      </c>
      <c r="D386" s="4" t="inlineStr">
        <is>
          <t>5</t>
        </is>
      </c>
      <c r="E386" s="5" t="inlineStr">
        <is>
          <t>700,00</t>
        </is>
      </c>
      <c r="F386" s="4" t="inlineStr">
        <is>
          <t>100.00</t>
        </is>
      </c>
    </row>
    <row collapsed="false" customFormat="false" customHeight="false" hidden="false" ht="12.1" outlineLevel="0" r="387">
      <c r="A387" s="5" t="s">
        <f>=HYPERLINK("https://www.leilaoonline.com.br/lote/detalhe/45359", "513")</f>
      </c>
      <c r="B387" s="4" t="s">
        <f>=HYPERLINK("https://www.leilaoonline.com.br/lote/detalhe/45359", "PIC-205-2020- 30 ITENS , DEFLETOR E OUTROS - veja descritivo de itens - LOC. Itabirito / Minas Gerais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550,00</t>
        </is>
      </c>
      <c r="F387" s="4" t="inlineStr">
        <is>
          <t>100.00</t>
        </is>
      </c>
    </row>
    <row collapsed="false" customFormat="false" customHeight="false" hidden="false" ht="12.1" outlineLevel="0" r="388">
      <c r="A388" s="5" t="s">
        <f>=HYPERLINK("https://www.leilaoonline.com.br/lote/detalhe/52065", "514")</f>
      </c>
      <c r="B388" s="4" t="s">
        <f>=HYPERLINK("https://www.leilaoonline.com.br/lote/detalhe/52065", "MUT-022-2020 - APROX. 78 ITENS - Componentes e acessórios de motores, Material elétrico E OUTROS - VEJA DESCRITIVO DE ITENS")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300,00</t>
        </is>
      </c>
      <c r="F388" s="4" t="inlineStr">
        <is>
          <t>100.00</t>
        </is>
      </c>
    </row>
    <row collapsed="false" customFormat="false" customHeight="false" hidden="false" ht="12.1" outlineLevel="0" r="389">
      <c r="A389" s="5" t="s">
        <f>=HYPERLINK("https://www.leilaoonline.com.br/lote/detalhe/52066", "515")</f>
      </c>
      <c r="B389" s="4" t="s">
        <f>=HYPERLINK("https://www.leilaoonline.com.br/lote/detalhe/52066", "MUT-023-2020 - APROX. 807 ITENS - Material elétrico, Juntas e vedações E OUTROS - VEJA DESCRITIVO DE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500,00</t>
        </is>
      </c>
      <c r="F389" s="4" t="inlineStr">
        <is>
          <t>100.00</t>
        </is>
      </c>
    </row>
    <row collapsed="false" customFormat="false" customHeight="false" hidden="false" ht="12.1" outlineLevel="0" r="390">
      <c r="A390" s="5" t="s">
        <f>=HYPERLINK("https://www.leilaoonline.com.br/lote/detalhe/45128", "516")</f>
      </c>
      <c r="B390" s="4" t="s">
        <f>=HYPERLINK("https://www.leilaoonline.com.br/lote/detalhe/45128", "CD-112-2020 - APROX. 16.962 ITENS Conjunto de parafusos - veja descritivo de itens - LOC. Barão de Cocais/Minas Gerais")</f>
      </c>
      <c r="C390" s="4" t="inlineStr">
        <is>
          <t>Vendido</t>
        </is>
      </c>
      <c r="D390" s="4" t="inlineStr">
        <is>
          <t>19</t>
        </is>
      </c>
      <c r="E390" s="5" t="inlineStr">
        <is>
          <t>2.050,00</t>
        </is>
      </c>
      <c r="F390" s="4" t="inlineStr">
        <is>
          <t>200.00</t>
        </is>
      </c>
    </row>
    <row collapsed="false" customFormat="false" customHeight="false" hidden="false" ht="12.1" outlineLevel="0" r="391">
      <c r="A391" s="5" t="s">
        <f>=HYPERLINK("https://www.leilaoonline.com.br/lote/detalhe/45141", "517")</f>
      </c>
      <c r="B391" s="4" t="s">
        <f>=HYPERLINK("https://www.leilaoonline.com.br/lote/detalhe/45141", "CD-114-2020 - APROX. 12.000 ITENS - Parafusos, arruelas e outros - veja descritivo de itens - LOC. Barão de Cocais/Minas Gerais")</f>
      </c>
      <c r="C391" s="4" t="inlineStr">
        <is>
          <t>Vendido</t>
        </is>
      </c>
      <c r="D391" s="4" t="inlineStr">
        <is>
          <t>19</t>
        </is>
      </c>
      <c r="E391" s="5" t="inlineStr">
        <is>
          <t>1.950,00</t>
        </is>
      </c>
      <c r="F391" s="4" t="inlineStr">
        <is>
          <t>100.00</t>
        </is>
      </c>
    </row>
    <row collapsed="false" customFormat="false" customHeight="false" hidden="false" ht="12.1" outlineLevel="0" r="392">
      <c r="A392" s="5" t="s">
        <f>=HYPERLINK("https://www.leilaoonline.com.br/lote/detalhe/45142", "518")</f>
      </c>
      <c r="B392" s="4" t="s">
        <f>=HYPERLINK("https://www.leilaoonline.com.br/lote/detalhe/45142", "CD-115-2020 - 26 ITENS - Peças acessórios equipamentos carregamento elevação - veja descritivo de itens - LOC. Barão de Cocais/Minas Gerais")</f>
      </c>
      <c r="C392" s="4" t="inlineStr">
        <is>
          <t>Não vendido</t>
        </is>
      </c>
      <c r="D392" s="4" t="inlineStr">
        <is>
          <t>4</t>
        </is>
      </c>
      <c r="E392" s="5" t="inlineStr">
        <is>
          <t>450,00</t>
        </is>
      </c>
      <c r="F392" s="4" t="inlineStr">
        <is>
          <t>100.00</t>
        </is>
      </c>
    </row>
    <row collapsed="false" customFormat="false" customHeight="false" hidden="false" ht="12.1" outlineLevel="0" r="393">
      <c r="A393" s="5" t="s">
        <f>=HYPERLINK("https://www.leilaoonline.com.br/lote/detalhe/52073", "519")</f>
      </c>
      <c r="B393" s="4" t="s">
        <f>=HYPERLINK("https://www.leilaoonline.com.br/lote/detalhe/52073", "MUT-028-2020 - APROX. 26 ITENS - Peças e acessórios de veículo pesado, Válvulas E OUTROS - VEJA DESCRITIVO DE ITENS")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500,00</t>
        </is>
      </c>
      <c r="F393" s="4" t="inlineStr">
        <is>
          <t>100.00</t>
        </is>
      </c>
    </row>
    <row collapsed="false" customFormat="false" customHeight="false" hidden="false" ht="12.1" outlineLevel="0" r="394">
      <c r="A394" s="5" t="s">
        <f>=HYPERLINK("https://www.leilaoonline.com.br/lote/detalhe/45144", "520")</f>
      </c>
      <c r="B394" s="4" t="s">
        <f>=HYPERLINK("https://www.leilaoonline.com.br/lote/detalhe/45144", "CD-117-2020 - APROX. 753 ITENS - Fixadores, Abrasivos.. - veja descritivo de itens  - LOC. Barão de Cocais/Minas Gerais")</f>
      </c>
      <c r="C394" s="4" t="inlineStr">
        <is>
          <t>Vendido</t>
        </is>
      </c>
      <c r="D394" s="4" t="inlineStr">
        <is>
          <t>10</t>
        </is>
      </c>
      <c r="E394" s="5" t="inlineStr">
        <is>
          <t>1.050,00</t>
        </is>
      </c>
      <c r="F394" s="4" t="inlineStr">
        <is>
          <t>100.00</t>
        </is>
      </c>
    </row>
    <row collapsed="false" customFormat="false" customHeight="false" hidden="false" ht="12.1" outlineLevel="0" r="395">
      <c r="A395" s="5" t="s">
        <f>=HYPERLINK("https://www.leilaoonline.com.br/lote/detalhe/52053", "521")</f>
      </c>
      <c r="B395" s="4" t="s">
        <f>=HYPERLINK("https://www.leilaoonline.com.br/lote/detalhe/52053", "TIG-012-2020- 5 CARTÕES MC - VEJA DESCRITIVO DE ITENS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350,00</t>
        </is>
      </c>
      <c r="F395" s="4" t="inlineStr">
        <is>
          <t>150.00</t>
        </is>
      </c>
    </row>
    <row collapsed="false" customFormat="false" customHeight="false" hidden="false" ht="12.1" outlineLevel="0" r="396">
      <c r="A396" s="5" t="s">
        <f>=HYPERLINK("https://www.leilaoonline.com.br/lote/detalhe/52057", "522")</f>
      </c>
      <c r="B396" s="4" t="s">
        <f>=HYPERLINK("https://www.leilaoonline.com.br/lote/detalhe/52057", "TIG-008-2020- 97 ITENS DIVERSOS,CHAVE DETEC, PARAFUSOS E OUTROS - VEJA DESCRITIVO DE ITENS ")</f>
      </c>
      <c r="C396" s="4" t="inlineStr">
        <is>
          <t>Vendido</t>
        </is>
      </c>
      <c r="D396" s="4" t="inlineStr">
        <is>
          <t>2</t>
        </is>
      </c>
      <c r="E396" s="5" t="inlineStr">
        <is>
          <t>500,00</t>
        </is>
      </c>
      <c r="F396" s="4" t="inlineStr">
        <is>
          <t>150.00</t>
        </is>
      </c>
    </row>
    <row collapsed="false" customFormat="false" customHeight="false" hidden="false" ht="12.1" outlineLevel="0" r="397">
      <c r="A397" s="5" t="s">
        <f>=HYPERLINK("https://www.leilaoonline.com.br/lote/detalhe/45187", "523")</f>
      </c>
      <c r="B397" s="4" t="s">
        <f>=HYPERLINK("https://www.leilaoonline.com.br/lote/detalhe/45187", "CD-133-2020 - 30 ITENS Fixadores diversos - veja descritivo de itens - LOC. Barão de Cocais/Minas Gerais")</f>
      </c>
      <c r="C397" s="4" t="inlineStr">
        <is>
          <t>Não vendido</t>
        </is>
      </c>
      <c r="D397" s="4" t="inlineStr">
        <is>
          <t>7</t>
        </is>
      </c>
      <c r="E397" s="5" t="inlineStr">
        <is>
          <t>750,00</t>
        </is>
      </c>
      <c r="F397" s="4" t="inlineStr">
        <is>
          <t>100.00</t>
        </is>
      </c>
    </row>
    <row collapsed="false" customFormat="false" customHeight="false" hidden="false" ht="12.1" outlineLevel="0" r="398">
      <c r="A398" s="5" t="s">
        <f>=HYPERLINK("https://www.leilaoonline.com.br/lote/detalhe/52117", "524")</f>
      </c>
      <c r="B398" s="4" t="s">
        <f>=HYPERLINK("https://www.leilaoonline.com.br/lote/detalhe/52117", "SLS-MRO-030-2020 - APROX 1.639 ITENS DIVERSOS, VALVULA ACIONAMENTO, LUVAS , ANEL E OUTROS - VEJA DESCRITIVO DE ITENS ")</f>
      </c>
      <c r="C398" s="4" t="inlineStr">
        <is>
          <t>Não vendido</t>
        </is>
      </c>
      <c r="D398" s="4" t="inlineStr">
        <is>
          <t>10</t>
        </is>
      </c>
      <c r="E398" s="5" t="inlineStr">
        <is>
          <t>1.200,00</t>
        </is>
      </c>
      <c r="F398" s="4" t="inlineStr">
        <is>
          <t>100.00</t>
        </is>
      </c>
    </row>
    <row collapsed="false" customFormat="false" customHeight="false" hidden="false" ht="12.1" outlineLevel="0" r="399">
      <c r="A399" s="5" t="s">
        <f>=HYPERLINK("https://www.leilaoonline.com.br/lote/detalhe/52118", "525")</f>
      </c>
      <c r="B399" s="4" t="s">
        <f>=HYPERLINK("https://www.leilaoonline.com.br/lote/detalhe/52118", "SLS-MRO-029-2020 - 01 PENEIRA VIBRATORIA U.P.S.L ")</f>
      </c>
      <c r="C399" s="4" t="inlineStr">
        <is>
          <t>Vendido</t>
        </is>
      </c>
      <c r="D399" s="4" t="inlineStr">
        <is>
          <t>1</t>
        </is>
      </c>
      <c r="E399" s="5" t="inlineStr">
        <is>
          <t>350,00</t>
        </is>
      </c>
      <c r="F399" s="4" t="inlineStr">
        <is>
          <t>150.00</t>
        </is>
      </c>
    </row>
    <row collapsed="false" customFormat="false" customHeight="false" hidden="false" ht="12.1" outlineLevel="0" r="400">
      <c r="A400" s="5" t="s">
        <f>=HYPERLINK("https://www.leilaoonline.com.br/lote/detalhe/52119", "526")</f>
      </c>
      <c r="B400" s="4" t="s">
        <f>=HYPERLINK("https://www.leilaoonline.com.br/lote/detalhe/52119", "SLS-MRO-028-2020-6.154 ITENS DIVERSOS, MODULO ELETRICO DIVERSOS E OUTROS - VEJA DESCRITIVO DE ITENS ")</f>
      </c>
      <c r="C400" s="4" t="inlineStr">
        <is>
          <t>Não vendido</t>
        </is>
      </c>
      <c r="D400" s="4" t="inlineStr">
        <is>
          <t>16</t>
        </is>
      </c>
      <c r="E400" s="5" t="inlineStr">
        <is>
          <t>2.600,00</t>
        </is>
      </c>
      <c r="F400" s="4" t="inlineStr">
        <is>
          <t>150.00</t>
        </is>
      </c>
    </row>
    <row collapsed="false" customFormat="false" customHeight="false" hidden="false" ht="12.1" outlineLevel="0" r="401">
      <c r="A401" s="5" t="s">
        <f>=HYPERLINK("https://www.leilaoonline.com.br/lote/detalhe/52120", "527")</f>
      </c>
      <c r="B401" s="4" t="s">
        <f>=HYPERLINK("https://www.leilaoonline.com.br/lote/detalhe/52120", "SLS-MRO-027-2020- 3.1836 ITENS DIVERSOS, Juntas e vedações, ARRUELAS, MANGUEIRAS E OUTROS - VEJA DESCRITIVO DE ITENS ")</f>
      </c>
      <c r="C401" s="4" t="inlineStr">
        <is>
          <t>Não vendido</t>
        </is>
      </c>
      <c r="D401" s="4" t="inlineStr">
        <is>
          <t>6</t>
        </is>
      </c>
      <c r="E401" s="5" t="inlineStr">
        <is>
          <t>1.100,00</t>
        </is>
      </c>
      <c r="F401" s="4" t="inlineStr">
        <is>
          <t>150.00</t>
        </is>
      </c>
    </row>
    <row collapsed="false" customFormat="false" customHeight="false" hidden="false" ht="12.1" outlineLevel="0" r="402">
      <c r="A402" s="5" t="s">
        <f>=HYPERLINK("https://www.leilaoonline.com.br/lote/detalhe/52757", "528")</f>
      </c>
      <c r="B402" s="4" t="s">
        <f>=HYPERLINK("https://www.leilaoonline.com.br/lote/detalhe/52757", "SLS-MRO-005-2020 - APROX. 938 ITENS - Peças e acessórios de transportador de correia E OUTROS - VEJA DESCRITIVO DE ITENS ")</f>
      </c>
      <c r="C402" s="4" t="inlineStr">
        <is>
          <t>Não vendido</t>
        </is>
      </c>
      <c r="D402" s="4" t="inlineStr">
        <is>
          <t>30</t>
        </is>
      </c>
      <c r="E402" s="5" t="inlineStr">
        <is>
          <t>6.850,00</t>
        </is>
      </c>
      <c r="F402" s="4" t="inlineStr">
        <is>
          <t>250.00</t>
        </is>
      </c>
    </row>
    <row collapsed="false" customFormat="false" customHeight="false" hidden="false" ht="12.1" outlineLevel="0" r="403">
      <c r="A403" s="5" t="s">
        <f>=HYPERLINK("https://www.leilaoonline.com.br/lote/detalhe/45143", "529")</f>
      </c>
      <c r="B403" s="4" t="s">
        <f>=HYPERLINK("https://www.leilaoonline.com.br/lote/detalhe/45143", "CD-116-2020 - APROX. 482 ITENS - Peças: eletrônicos, Fios e cabos.. - veja descritivo de itens - LOC. Barão de Cocais/Minas Gerais")</f>
      </c>
      <c r="C403" s="4" t="inlineStr">
        <is>
          <t>Vendido</t>
        </is>
      </c>
      <c r="D403" s="4" t="inlineStr">
        <is>
          <t>4</t>
        </is>
      </c>
      <c r="E403" s="5" t="inlineStr">
        <is>
          <t>600,00</t>
        </is>
      </c>
      <c r="F403" s="4" t="inlineStr">
        <is>
          <t>150.00</t>
        </is>
      </c>
    </row>
    <row collapsed="false" customFormat="false" customHeight="false" hidden="false" ht="12.1" outlineLevel="0" r="404">
      <c r="A404" s="5" t="s">
        <f>=HYPERLINK("https://www.leilaoonline.com.br/lote/detalhe/52762", "600")</f>
      </c>
      <c r="B404" s="4" t="s">
        <f>=HYPERLINK("https://www.leilaoonline.com.br/lote/detalhe/52762", "SSG-018-2020- 101 ITENS, CONJUNTO SENSOR, DISJUNTOR, TUBOS E OUTROS- VEJA DESCRITIVO  DE ITENS ")</f>
      </c>
      <c r="C404" s="4" t="inlineStr">
        <is>
          <t>Não vendido</t>
        </is>
      </c>
      <c r="D404" s="4" t="inlineStr">
        <is>
          <t>3</t>
        </is>
      </c>
      <c r="E404" s="5" t="inlineStr">
        <is>
          <t>800,00</t>
        </is>
      </c>
      <c r="F404" s="4" t="inlineStr">
        <is>
          <t>150.00</t>
        </is>
      </c>
    </row>
    <row collapsed="false" customFormat="false" customHeight="false" hidden="false" ht="12.1" outlineLevel="0" r="405">
      <c r="A405" s="5" t="s">
        <f>=HYPERLINK("https://www.leilaoonline.com.br/lote/detalhe/52763", "601")</f>
      </c>
      <c r="B405" s="4" t="s">
        <f>=HYPERLINK("https://www.leilaoonline.com.br/lote/detalhe/52763", "SSG-017-2020-MRO- 296 ITENS DIVERSOS, ANEIS COMPONENTES, CAPACITOR, E OUTROS- VEJA DESCRITIVO DE ITENS ")</f>
      </c>
      <c r="C405" s="4" t="inlineStr">
        <is>
          <t>Não vendido</t>
        </is>
      </c>
      <c r="D405" s="4" t="inlineStr">
        <is>
          <t>8</t>
        </is>
      </c>
      <c r="E405" s="5" t="inlineStr">
        <is>
          <t>1.550,00</t>
        </is>
      </c>
      <c r="F405" s="4" t="inlineStr">
        <is>
          <t>150.00</t>
        </is>
      </c>
    </row>
    <row collapsed="false" customFormat="false" customHeight="false" hidden="false" ht="12.1" outlineLevel="0" r="406">
      <c r="A406" s="5" t="s">
        <f>=HYPERLINK("https://www.leilaoonline.com.br/lote/detalhe/52765", "602")</f>
      </c>
      <c r="B406" s="4" t="s">
        <f>=HYPERLINK("https://www.leilaoonline.com.br/lote/detalhe/52765", "SSG-016-2020-MRO- 81 ITENS, PORCAS COMPONENTES, FUSIVEL  E OUTROS- VEJA DESCRITIVO DE ITENS ")</f>
      </c>
      <c r="C406" s="4" t="inlineStr">
        <is>
          <t>Vendido</t>
        </is>
      </c>
      <c r="D406" s="4" t="inlineStr">
        <is>
          <t>2</t>
        </is>
      </c>
      <c r="E406" s="5" t="inlineStr">
        <is>
          <t>650,00</t>
        </is>
      </c>
      <c r="F406" s="4" t="inlineStr">
        <is>
          <t>150.00</t>
        </is>
      </c>
    </row>
    <row collapsed="false" customFormat="false" customHeight="false" hidden="false" ht="12.1" outlineLevel="0" r="407">
      <c r="A407" s="5" t="s">
        <f>=HYPERLINK("https://www.leilaoonline.com.br/lote/detalhe/45349", "603")</f>
      </c>
      <c r="B407" s="4" t="s">
        <f>=HYPERLINK("https://www.leilaoonline.com.br/lote/detalhe/45349", "GOV-058-2020 - 22 ITENS PeçAS: eletrônicos e Outros - veja descritivo de itens  - LOC. GOVERNADOR VALADARES/MG")</f>
      </c>
      <c r="C407" s="4" t="inlineStr">
        <is>
          <t>Vendido</t>
        </is>
      </c>
      <c r="D407" s="4" t="inlineStr">
        <is>
          <t>1</t>
        </is>
      </c>
      <c r="E407" s="5" t="inlineStr">
        <is>
          <t>300,00</t>
        </is>
      </c>
      <c r="F407" s="4" t="inlineStr">
        <is>
          <t>100.00</t>
        </is>
      </c>
    </row>
    <row collapsed="false" customFormat="false" customHeight="false" hidden="false" ht="12.1" outlineLevel="0" r="408">
      <c r="A408" s="5" t="s">
        <f>=HYPERLINK("https://www.leilaoonline.com.br/lote/detalhe/52767", "604")</f>
      </c>
      <c r="B408" s="4" t="s">
        <f>=HYPERLINK("https://www.leilaoonline.com.br/lote/detalhe/52767", "SSG-011-2020-CP08- COMPRESSOR  Atlas Copco, XAHS157, ANO 2011- LOC. Canaa dos Carajás/PA")</f>
      </c>
      <c r="C408" s="4" t="inlineStr">
        <is>
          <t>Não vendido</t>
        </is>
      </c>
      <c r="D408" s="4" t="inlineStr">
        <is>
          <t>17</t>
        </is>
      </c>
      <c r="E408" s="5" t="inlineStr">
        <is>
          <t>6.600,00</t>
        </is>
      </c>
      <c r="F408" s="4" t="inlineStr">
        <is>
          <t>150.00</t>
        </is>
      </c>
    </row>
    <row collapsed="false" customFormat="false" customHeight="false" hidden="false" ht="12.1" outlineLevel="0" r="409">
      <c r="A409" s="5" t="s">
        <f>=HYPERLINK("https://www.leilaoonline.com.br/lote/detalhe/52772", "605")</f>
      </c>
      <c r="B409" s="4" t="s">
        <f>=HYPERLINK("https://www.leilaoonline.com.br/lote/detalhe/52772", "SSG-005-2020-4101MD01 - MANDRILHADORA ZOCCA CENTURION 110M, IMB. 1000137356- LOC. Canaa dos Carajás/PA")</f>
      </c>
      <c r="C409" s="4" t="inlineStr">
        <is>
          <t>Vendido</t>
        </is>
      </c>
      <c r="D409" s="4" t="inlineStr">
        <is>
          <t>25</t>
        </is>
      </c>
      <c r="E409" s="5" t="inlineStr">
        <is>
          <t>30.000,00</t>
        </is>
      </c>
      <c r="F409" s="4" t="inlineStr">
        <is>
          <t>250.00</t>
        </is>
      </c>
    </row>
    <row collapsed="false" customFormat="false" customHeight="false" hidden="false" ht="12.1" outlineLevel="0" r="410">
      <c r="A410" s="5" t="s">
        <f>=HYPERLINK("https://www.leilaoonline.com.br/lote/detalhe/52774", "606")</f>
      </c>
      <c r="B410" s="4" t="s">
        <f>=HYPERLINK("https://www.leilaoonline.com.br/lote/detalhe/52774", "SLS-MRO-039-2020- 648 ITENS, Arruelas, Conjunto de parafusos E OUTROS - VEJA DESCRITIVO DE ITENS ")</f>
      </c>
      <c r="C410" s="4" t="inlineStr">
        <is>
          <t>Não vendido</t>
        </is>
      </c>
      <c r="D410" s="4" t="inlineStr">
        <is>
          <t>25</t>
        </is>
      </c>
      <c r="E410" s="5" t="inlineStr">
        <is>
          <t>4.100,00</t>
        </is>
      </c>
      <c r="F410" s="4" t="inlineStr">
        <is>
          <t>150.00</t>
        </is>
      </c>
    </row>
    <row collapsed="false" customFormat="false" customHeight="false" hidden="false" ht="12.1" outlineLevel="0" r="411">
      <c r="A411" s="5" t="s">
        <f>=HYPERLINK("https://www.leilaoonline.com.br/lote/detalhe/52776", "608")</f>
      </c>
      <c r="B411" s="4" t="s">
        <f>=HYPERLINK("https://www.leilaoonline.com.br/lote/detalhe/52776", "SLS-MRO-037-2020- 275 MANGA FILTR POLIESTER 550G/M2 160MM, UNOTECH - LOC.São Luis - MA 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500,00</t>
        </is>
      </c>
      <c r="F411" s="4" t="inlineStr">
        <is>
          <t>150.00</t>
        </is>
      </c>
    </row>
    <row collapsed="false" customFormat="false" customHeight="false" hidden="false" ht="12.1" outlineLevel="0" r="412">
      <c r="A412" s="5" t="s">
        <f>=HYPERLINK("https://www.leilaoonline.com.br/lote/detalhe/52777", "609")</f>
      </c>
      <c r="B412" s="4" t="s">
        <f>=HYPERLINK("https://www.leilaoonline.com.br/lote/detalhe/52777", "SLS-MRO-036-2020- 338 ITENS, ARTICULACAO COMPONENTE, CALCA PROTECAO NOMEX, E OUTROS- VEJA DESCRITIVO DE ITENS ")</f>
      </c>
      <c r="C412" s="4" t="inlineStr">
        <is>
          <t>Não vendido</t>
        </is>
      </c>
      <c r="D412" s="4" t="inlineStr">
        <is>
          <t>20</t>
        </is>
      </c>
      <c r="E412" s="5" t="inlineStr">
        <is>
          <t>3.350,00</t>
        </is>
      </c>
      <c r="F412" s="4" t="inlineStr">
        <is>
          <t>150.00</t>
        </is>
      </c>
    </row>
    <row collapsed="false" customFormat="false" customHeight="false" hidden="false" ht="12.1" outlineLevel="0" r="413">
      <c r="A413" s="5" t="s">
        <f>=HYPERLINK("https://www.leilaoonline.com.br/lote/detalhe/52778", "610")</f>
      </c>
      <c r="B413" s="4" t="s">
        <f>=HYPERLINK("https://www.leilaoonline.com.br/lote/detalhe/52778", "SLS-MRO-035-2020- 44 ITENS, LUVA SEGURANCA, MODULO ELETRONICO, VEJA DESCRITIVO DE ITENS ")</f>
      </c>
      <c r="C413" s="4" t="inlineStr">
        <is>
          <t>Não vendido</t>
        </is>
      </c>
      <c r="D413" s="4" t="inlineStr">
        <is>
          <t>2</t>
        </is>
      </c>
      <c r="E413" s="5" t="inlineStr">
        <is>
          <t>650,00</t>
        </is>
      </c>
      <c r="F413" s="4" t="inlineStr">
        <is>
          <t>150.00</t>
        </is>
      </c>
    </row>
    <row collapsed="false" customFormat="false" customHeight="false" hidden="false" ht="12.1" outlineLevel="0" r="414">
      <c r="A414" s="5" t="s">
        <f>=HYPERLINK("https://www.leilaoonline.com.br/lote/detalhe/52780", "612")</f>
      </c>
      <c r="B414" s="4" t="s">
        <f>=HYPERLINK("https://www.leilaoonline.com.br/lote/detalhe/52780", "SLS-MRO-033-2020- 1308 ITENS, CHAPA DESGASTE, MOLA COMPONENTE - VEJA DESCRITIVO DE ITENS ")</f>
      </c>
      <c r="C414" s="4" t="inlineStr">
        <is>
          <t>Não vendido</t>
        </is>
      </c>
      <c r="D414" s="4" t="inlineStr">
        <is>
          <t>1</t>
        </is>
      </c>
      <c r="E414" s="5" t="inlineStr">
        <is>
          <t>500,00</t>
        </is>
      </c>
      <c r="F414" s="4" t="inlineStr">
        <is>
          <t>150.00</t>
        </is>
      </c>
    </row>
    <row collapsed="false" customFormat="false" customHeight="false" hidden="false" ht="12.1" outlineLevel="0" r="415">
      <c r="A415" s="5" t="s">
        <f>=HYPERLINK("https://www.leilaoonline.com.br/lote/detalhe/52793", "614")</f>
      </c>
      <c r="B415" s="4" t="s">
        <f>=HYPERLINK("https://www.leilaoonline.com.br/lote/detalhe/52793", "SLS-EQZIPI-007-2020- 04 ITENS, BEBEDOURO ESMALTEC, FORNO MICROONDAS PANASONIC- VEJA DESCRITIVO DE ITENS ")</f>
      </c>
      <c r="C415" s="4" t="inlineStr">
        <is>
          <t>Não vendido</t>
        </is>
      </c>
      <c r="D415" s="4" t="inlineStr">
        <is>
          <t>2</t>
        </is>
      </c>
      <c r="E415" s="5" t="inlineStr">
        <is>
          <t>850,00</t>
        </is>
      </c>
      <c r="F415" s="4" t="inlineStr">
        <is>
          <t>150.00</t>
        </is>
      </c>
    </row>
    <row collapsed="false" customFormat="false" customHeight="false" hidden="false" ht="12.1" outlineLevel="0" r="416">
      <c r="A416" s="5" t="s">
        <f>=HYPERLINK("https://www.leilaoonline.com.br/lote/detalhe/52795", "615")</f>
      </c>
      <c r="B416" s="4" t="s">
        <f>=HYPERLINK("https://www.leilaoonline.com.br/lote/detalhe/52795", "SLS-EQ-012-2020 -120 Cadeiras de escritório modelos diversas, veja descritivo de itens ")</f>
      </c>
      <c r="C416" s="4" t="inlineStr">
        <is>
          <t>Não vendido</t>
        </is>
      </c>
      <c r="D416" s="4" t="inlineStr">
        <is>
          <t>1</t>
        </is>
      </c>
      <c r="E416" s="5" t="inlineStr">
        <is>
          <t>500,00</t>
        </is>
      </c>
      <c r="F416" s="4" t="inlineStr">
        <is>
          <t>150.00</t>
        </is>
      </c>
    </row>
    <row collapsed="false" customFormat="false" customHeight="false" hidden="false" ht="12.1" outlineLevel="0" r="417">
      <c r="A417" s="5" t="s">
        <f>=HYPERLINK("https://www.leilaoonline.com.br/lote/detalhe/52796", "616")</f>
      </c>
      <c r="B417" s="4" t="s">
        <f>=HYPERLINK("https://www.leilaoonline.com.br/lote/detalhe/52796", "SLS-EQ-011-2020 -APROX. 120 Cadeiria de escritório modelos diversas, veja descritivo de itens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500,00</t>
        </is>
      </c>
      <c r="F417" s="4" t="inlineStr">
        <is>
          <t>150.00</t>
        </is>
      </c>
    </row>
    <row collapsed="false" customFormat="false" customHeight="false" hidden="false" ht="12.1" outlineLevel="0" r="418">
      <c r="A418" s="5" t="s">
        <f>=HYPERLINK("https://www.leilaoonline.com.br/lote/detalhe/52798", "617")</f>
      </c>
      <c r="B418" s="4" t="s">
        <f>=HYPERLINK("https://www.leilaoonline.com.br/lote/detalhe/52798", "SLS-EQ-006-2020- 01 BEBEDOURO TIPO ELETRONICO; CAPACIDADE 20L; MIDEA PURIFICADOR DE AGUA-LOC.São Luís / MA")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500,00</t>
        </is>
      </c>
      <c r="F418" s="4" t="inlineStr">
        <is>
          <t>150.00</t>
        </is>
      </c>
    </row>
    <row collapsed="false" customFormat="false" customHeight="false" hidden="false" ht="12.1" outlineLevel="0" r="419">
      <c r="A419" s="5" t="s">
        <f>=HYPERLINK("https://www.leilaoonline.com.br/lote/detalhe/52806", "622")</f>
      </c>
      <c r="B419" s="4" t="s">
        <f>=HYPERLINK("https://www.leilaoonline.com.br/lote/detalhe/52806", "SFH-002-2020-281 ITENS, DISCO CORTE, CONTATOR ELET., RELE TERMICO E OUTROS- VEJA DESCRITIVO DE ITENS ")</f>
      </c>
      <c r="C419" s="4" t="inlineStr">
        <is>
          <t>Vendido</t>
        </is>
      </c>
      <c r="D419" s="4" t="inlineStr">
        <is>
          <t>12</t>
        </is>
      </c>
      <c r="E419" s="5" t="inlineStr">
        <is>
          <t>2.150,00</t>
        </is>
      </c>
      <c r="F419" s="4" t="inlineStr">
        <is>
          <t>150.00</t>
        </is>
      </c>
    </row>
    <row collapsed="false" customFormat="false" customHeight="false" hidden="false" ht="12.1" outlineLevel="0" r="420">
      <c r="A420" s="5" t="s">
        <f>=HYPERLINK("https://www.leilaoonline.com.br/lote/detalhe/52835", "623")</f>
      </c>
      <c r="B420" s="4" t="s">
        <f>=HYPERLINK("https://www.leilaoonline.com.br/lote/detalhe/52835", "SFH-001-2020 -64 ITENS, MANCAL, FILTRO AR, E OUTROS - VEJA DESCRITIVO DE ITENS ")</f>
      </c>
      <c r="C420" s="4" t="inlineStr">
        <is>
          <t>Vendido</t>
        </is>
      </c>
      <c r="D420" s="4" t="inlineStr">
        <is>
          <t>3</t>
        </is>
      </c>
      <c r="E420" s="5" t="inlineStr">
        <is>
          <t>800,00</t>
        </is>
      </c>
      <c r="F420" s="4" t="inlineStr">
        <is>
          <t>150.00</t>
        </is>
      </c>
    </row>
    <row collapsed="false" customFormat="false" customHeight="false" hidden="false" ht="12.1" outlineLevel="0" r="421">
      <c r="A421" s="5" t="s">
        <f>=HYPERLINK("https://www.leilaoonline.com.br/lote/detalhe/52836", "624")</f>
      </c>
      <c r="B421" s="4" t="s">
        <f>=HYPERLINK("https://www.leilaoonline.com.br/lote/detalhe/52836", "PIC-256-2020 -132 ITENS, AMORTECEDOR DF, VALVULA HIDR DIRECIONAL E OUTROS- VEJA DESCRITIVO DE ITENS ")</f>
      </c>
      <c r="C421" s="4" t="inlineStr">
        <is>
          <t>Não vendido</t>
        </is>
      </c>
      <c r="D421" s="4" t="inlineStr">
        <is>
          <t>3</t>
        </is>
      </c>
      <c r="E421" s="5" t="inlineStr">
        <is>
          <t>800,00</t>
        </is>
      </c>
      <c r="F421" s="4" t="inlineStr">
        <is>
          <t>150.00</t>
        </is>
      </c>
    </row>
    <row collapsed="false" customFormat="false" customHeight="false" hidden="false" ht="12.1" outlineLevel="0" r="422">
      <c r="A422" s="5" t="s">
        <f>=HYPERLINK("https://www.leilaoonline.com.br/lote/detalhe/52837", "625")</f>
      </c>
      <c r="B422" s="4" t="s">
        <f>=HYPERLINK("https://www.leilaoonline.com.br/lote/detalhe/52837", "PIC-255-2020- 42 ITENS, PNEU VEICULO LEVE, POLIA COMPONENTE E OUTROS - VEJA DESCRITIVO DE ITENS ")</f>
      </c>
      <c r="C422" s="4" t="inlineStr">
        <is>
          <t>Não vendido</t>
        </is>
      </c>
      <c r="D422" s="4" t="inlineStr">
        <is>
          <t>3</t>
        </is>
      </c>
      <c r="E422" s="5" t="inlineStr">
        <is>
          <t>800,00</t>
        </is>
      </c>
      <c r="F422" s="4" t="inlineStr">
        <is>
          <t>150.00</t>
        </is>
      </c>
    </row>
    <row collapsed="false" customFormat="false" customHeight="false" hidden="false" ht="12.1" outlineLevel="0" r="423">
      <c r="A423" s="5" t="s">
        <f>=HYPERLINK("https://www.leilaoonline.com.br/lote/detalhe/52839", "626")</f>
      </c>
      <c r="B423" s="4" t="s">
        <f>=HYPERLINK("https://www.leilaoonline.com.br/lote/detalhe/52839", "PIC-254-2020- 61 ITENS, PLACA COMPONENTE, CILINDRO, EIXO E OUTROS - VEJA DESCRITIVO DE ITENS ")</f>
      </c>
      <c r="C423" s="4" t="inlineStr">
        <is>
          <t>Não vendido</t>
        </is>
      </c>
      <c r="D423" s="4" t="inlineStr">
        <is>
          <t>1</t>
        </is>
      </c>
      <c r="E423" s="5" t="inlineStr">
        <is>
          <t>500,00</t>
        </is>
      </c>
      <c r="F423" s="4" t="inlineStr">
        <is>
          <t>150.00</t>
        </is>
      </c>
    </row>
    <row collapsed="false" customFormat="false" customHeight="false" hidden="false" ht="12.1" outlineLevel="0" r="424">
      <c r="A424" s="5" t="s">
        <f>=HYPERLINK("https://www.leilaoonline.com.br/lote/detalhe/52844", "627")</f>
      </c>
      <c r="B424" s="4" t="s">
        <f>=HYPERLINK("https://www.leilaoonline.com.br/lote/detalhe/52844", "PIC-253-2020- 46 ITENS, CHAVETA PARALELA, ELEMENTO FILT FLUID,TUBO E OUTROS - VEJA DESCRITIVO DE ITENS 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500,00</t>
        </is>
      </c>
      <c r="F424" s="4" t="inlineStr">
        <is>
          <t>150.00</t>
        </is>
      </c>
    </row>
    <row collapsed="false" customFormat="false" customHeight="false" hidden="false" ht="12.1" outlineLevel="0" r="425">
      <c r="A425" s="5" t="s">
        <f>=HYPERLINK("https://www.leilaoonline.com.br/lote/detalhe/52845", "628")</f>
      </c>
      <c r="B425" s="4" t="s">
        <f>=HYPERLINK("https://www.leilaoonline.com.br/lote/detalhe/52845", "PIC-252-2020- 145 ITENS, CONECTOR P/CABO, GAXETA VEDACAO BOMBA E OUTROS - VEJA DESCRITIVO DE ITENS ")</f>
      </c>
      <c r="C425" s="4" t="inlineStr">
        <is>
          <t>Não vendido</t>
        </is>
      </c>
      <c r="D425" s="4" t="inlineStr">
        <is>
          <t>6</t>
        </is>
      </c>
      <c r="E425" s="5" t="inlineStr">
        <is>
          <t>1.250,00</t>
        </is>
      </c>
      <c r="F425" s="4" t="inlineStr">
        <is>
          <t>150.00</t>
        </is>
      </c>
    </row>
    <row collapsed="false" customFormat="false" customHeight="false" hidden="false" ht="12.1" outlineLevel="0" r="426">
      <c r="A426" s="5" t="s">
        <f>=HYPERLINK("https://www.leilaoonline.com.br/lote/detalhe/52848", "629")</f>
      </c>
      <c r="B426" s="4" t="s">
        <f>=HYPERLINK("https://www.leilaoonline.com.br/lote/detalhe/52848", "PIC-251-2020- 20 ITENS , CORRENTES DE TRANSMISSÃO , TRANSFORMADORES E OUTROS - VEJA DESCRITIVPO DE ITENS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500,00</t>
        </is>
      </c>
      <c r="F426" s="4" t="inlineStr">
        <is>
          <t>150.00</t>
        </is>
      </c>
    </row>
    <row collapsed="false" customFormat="false" customHeight="false" hidden="false" ht="12.1" outlineLevel="0" r="427">
      <c r="A427" s="5" t="s">
        <f>=HYPERLINK("https://www.leilaoonline.com.br/lote/detalhe/52871", "631")</f>
      </c>
      <c r="B427" s="4" t="s">
        <f>=HYPERLINK("https://www.leilaoonline.com.br/lote/detalhe/52871", "PIC-247-2020 - 179 ITENS, AJUSTADOR, VALVULA ALIVIO, TUBO E OUTROS - VEJA DESCRITIVO DE ITENS ")</f>
      </c>
      <c r="C427" s="4" t="inlineStr">
        <is>
          <t>Não vendido</t>
        </is>
      </c>
      <c r="D427" s="4" t="inlineStr">
        <is>
          <t>2</t>
        </is>
      </c>
      <c r="E427" s="5" t="inlineStr">
        <is>
          <t>650,00</t>
        </is>
      </c>
      <c r="F427" s="4" t="inlineStr">
        <is>
          <t>150.00</t>
        </is>
      </c>
    </row>
    <row collapsed="false" customFormat="false" customHeight="false" hidden="false" ht="12.1" outlineLevel="0" r="428">
      <c r="A428" s="5" t="s">
        <f>=HYPERLINK("https://www.leilaoonline.com.br/lote/detalhe/52888", "632")</f>
      </c>
      <c r="B428" s="4" t="s">
        <f>=HYPERLINK("https://www.leilaoonline.com.br/lote/detalhe/52888", "PIC-246-2020 -21 ITENS, PINOS, REVESTIMENTOS COMPONETE E OUTROS - VEJA DESCRITIVO DE ITENS")</f>
      </c>
      <c r="C428" s="4" t="inlineStr">
        <is>
          <t>Não vendido</t>
        </is>
      </c>
      <c r="D428" s="4" t="inlineStr">
        <is>
          <t>1</t>
        </is>
      </c>
      <c r="E428" s="5" t="inlineStr">
        <is>
          <t>500,00</t>
        </is>
      </c>
      <c r="F428" s="4" t="inlineStr">
        <is>
          <t>150.00</t>
        </is>
      </c>
    </row>
    <row collapsed="false" customFormat="false" customHeight="false" hidden="false" ht="12.1" outlineLevel="0" r="429">
      <c r="A429" s="5" t="s">
        <f>=HYPERLINK("https://www.leilaoonline.com.br/lote/detalhe/52889", "633")</f>
      </c>
      <c r="B429" s="4" t="s">
        <f>=HYPERLINK("https://www.leilaoonline.com.br/lote/detalhe/52889", "PIC-245-2020 - 74 ITENS, CORREIAS, MANCAIS E OUTROS- VEJA DESCRITIVO DE ITENS ")</f>
      </c>
      <c r="C429" s="4" t="inlineStr">
        <is>
          <t>Não vendido</t>
        </is>
      </c>
      <c r="D429" s="4" t="inlineStr">
        <is>
          <t>1</t>
        </is>
      </c>
      <c r="E429" s="5" t="inlineStr">
        <is>
          <t>500,00</t>
        </is>
      </c>
      <c r="F429" s="4" t="inlineStr">
        <is>
          <t>150.00</t>
        </is>
      </c>
    </row>
    <row collapsed="false" customFormat="false" customHeight="false" hidden="false" ht="12.1" outlineLevel="0" r="430">
      <c r="A430" s="5" t="s">
        <f>=HYPERLINK("https://www.leilaoonline.com.br/lote/detalhe/52892", "634")</f>
      </c>
      <c r="B430" s="4" t="s">
        <f>=HYPERLINK("https://www.leilaoonline.com.br/lote/detalhe/52892", "PIC-244-2020 - 92 ITENS, ANEL COMPONENTE, ABRAÇADEIA, BASE COMPONENTE E OUTROS- VEJA DESCRITIVO DE ITENS ")</f>
      </c>
      <c r="C430" s="4" t="inlineStr">
        <is>
          <t>Não vendido</t>
        </is>
      </c>
      <c r="D430" s="4" t="inlineStr">
        <is>
          <t>1</t>
        </is>
      </c>
      <c r="E430" s="5" t="inlineStr">
        <is>
          <t>500,00</t>
        </is>
      </c>
      <c r="F430" s="4" t="inlineStr">
        <is>
          <t>150.00</t>
        </is>
      </c>
    </row>
    <row collapsed="false" customFormat="false" customHeight="false" hidden="false" ht="12.1" outlineLevel="0" r="431">
      <c r="A431" s="5" t="s">
        <f>=HYPERLINK("https://www.leilaoonline.com.br/lote/detalhe/52894", "635")</f>
      </c>
      <c r="B431" s="4" t="s">
        <f>=HYPERLINK("https://www.leilaoonline.com.br/lote/detalhe/52894", "PIC-232-2020 - 30 ITENS, ABRACADEIRA REGULAVEL, ACOPLAMENTO E OUTROS- VEJA DESCRITIVO DE ITENS ")</f>
      </c>
      <c r="C431" s="4" t="inlineStr">
        <is>
          <t>Vendido</t>
        </is>
      </c>
      <c r="D431" s="4" t="inlineStr">
        <is>
          <t>2</t>
        </is>
      </c>
      <c r="E431" s="5" t="inlineStr">
        <is>
          <t>650,00</t>
        </is>
      </c>
      <c r="F431" s="4" t="inlineStr">
        <is>
          <t>150.00</t>
        </is>
      </c>
    </row>
    <row collapsed="false" customFormat="false" customHeight="false" hidden="false" ht="12.1" outlineLevel="0" r="432">
      <c r="A432" s="5" t="s">
        <f>=HYPERLINK("https://www.leilaoonline.com.br/lote/detalhe/52899", "637")</f>
      </c>
      <c r="B432" s="4" t="s">
        <f>=HYPERLINK("https://www.leilaoonline.com.br/lote/detalhe/52899", "PIC-228-2020-30 ITENS, ROLETES E ROLO TRANSPORTADOR - VEJA DESCRITIVO DE ITENS")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500,00</t>
        </is>
      </c>
      <c r="F432" s="4" t="inlineStr">
        <is>
          <t>150.00</t>
        </is>
      </c>
    </row>
    <row collapsed="false" customFormat="false" customHeight="false" hidden="false" ht="12.1" outlineLevel="0" r="433">
      <c r="A433" s="5" t="s">
        <f>=HYPERLINK("https://www.leilaoonline.com.br/lote/detalhe/52900", "638")</f>
      </c>
      <c r="B433" s="4" t="s">
        <f>=HYPERLINK("https://www.leilaoonline.com.br/lote/detalhe/52900", "PIC-225-2020- 644 ITENS, VALVULAS, FILTROS DE AR E OUTROS - VEJA DESCRITIVO DE ITENS ")</f>
      </c>
      <c r="C433" s="4" t="inlineStr">
        <is>
          <t>Não vendido</t>
        </is>
      </c>
      <c r="D433" s="4" t="inlineStr">
        <is>
          <t>3</t>
        </is>
      </c>
      <c r="E433" s="5" t="inlineStr">
        <is>
          <t>800,00</t>
        </is>
      </c>
      <c r="F433" s="4" t="inlineStr">
        <is>
          <t>150.00</t>
        </is>
      </c>
    </row>
    <row collapsed="false" customFormat="false" customHeight="false" hidden="false" ht="12.1" outlineLevel="0" r="434">
      <c r="A434" s="5" t="s">
        <f>=HYPERLINK("https://www.leilaoonline.com.br/lote/detalhe/45416", "639")</f>
      </c>
      <c r="B434" s="4" t="s">
        <f>=HYPERLINK("https://www.leilaoonline.com.br/lote/detalhe/45416", "MUT-001-2020 - 10 Cadeiras c/ Mesa Acoplada,1 Banco d Carro Marca Isri Isringhausen - LOC. NOVA LIMA-MG")</f>
      </c>
      <c r="C434" s="4" t="inlineStr">
        <is>
          <t>Não vendido</t>
        </is>
      </c>
      <c r="D434" s="4" t="inlineStr">
        <is>
          <t>3</t>
        </is>
      </c>
      <c r="E434" s="5" t="inlineStr">
        <is>
          <t>400,00</t>
        </is>
      </c>
      <c r="F434" s="4" t="inlineStr">
        <is>
          <t>100.00</t>
        </is>
      </c>
    </row>
    <row collapsed="false" customFormat="false" customHeight="false" hidden="false" ht="12.1" outlineLevel="0" r="435">
      <c r="A435" s="5" t="s">
        <f>=HYPERLINK("https://www.leilaoonline.com.br/lote/detalhe/52902", "640")</f>
      </c>
      <c r="B435" s="4" t="s">
        <f>=HYPERLINK("https://www.leilaoonline.com.br/lote/detalhe/52902", "PIC-222-2020- 298 ITENS, ACOPLAMENTOS, GAXETA E OUTROS - VEJA DESCRITIVO DE ITENS ")</f>
      </c>
      <c r="C435" s="4" t="inlineStr">
        <is>
          <t>Vendido</t>
        </is>
      </c>
      <c r="D435" s="4" t="inlineStr">
        <is>
          <t>1</t>
        </is>
      </c>
      <c r="E435" s="5" t="inlineStr">
        <is>
          <t>500,00</t>
        </is>
      </c>
      <c r="F435" s="4" t="inlineStr">
        <is>
          <t>150.00</t>
        </is>
      </c>
    </row>
    <row collapsed="false" customFormat="false" customHeight="false" hidden="false" ht="12.1" outlineLevel="0" r="436">
      <c r="A436" s="5" t="s">
        <f>=HYPERLINK("https://www.leilaoonline.com.br/lote/detalhe/52903", "641")</f>
      </c>
      <c r="B436" s="4" t="s">
        <f>=HYPERLINK("https://www.leilaoonline.com.br/lote/detalhe/52903", "PIC-221-2020- 42 ITENS, TELA PENEIRA, CUNHA COMPONENTE - VEJA DESCRITIVO DE ITENS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500,00</t>
        </is>
      </c>
      <c r="F436" s="4" t="inlineStr">
        <is>
          <t>150.00</t>
        </is>
      </c>
    </row>
    <row collapsed="false" customFormat="false" customHeight="false" hidden="false" ht="12.1" outlineLevel="0" r="437">
      <c r="A437" s="5" t="s">
        <f>=HYPERLINK("https://www.leilaoonline.com.br/lote/detalhe/52904", "642")</f>
      </c>
      <c r="B437" s="4" t="s">
        <f>=HYPERLINK("https://www.leilaoonline.com.br/lote/detalhe/52904", "PIC-220-2020- 90 ITENS, VALVULA SOLENOIDE, DISJUNTOR; CORRENTE NOMINAL E OUTROS- VEJA DESCRITIVO DE ITENS ")</f>
      </c>
      <c r="C437" s="4" t="inlineStr">
        <is>
          <t>Vendido</t>
        </is>
      </c>
      <c r="D437" s="4" t="inlineStr">
        <is>
          <t>2</t>
        </is>
      </c>
      <c r="E437" s="5" t="inlineStr">
        <is>
          <t>650,00</t>
        </is>
      </c>
      <c r="F437" s="4" t="inlineStr">
        <is>
          <t>150.00</t>
        </is>
      </c>
    </row>
    <row collapsed="false" customFormat="false" customHeight="false" hidden="false" ht="12.1" outlineLevel="0" r="438">
      <c r="A438" s="5" t="s">
        <f>=HYPERLINK("https://www.leilaoonline.com.br/lote/detalhe/52916", "644")</f>
      </c>
      <c r="B438" s="4" t="s">
        <f>=HYPERLINK("https://www.leilaoonline.com.br/lote/detalhe/52916", "OIA-024-2020- 425 ITENS, MEDIDOR COMPONENTE, PASTILHAS E OUTROS - VEJA DESCRITIVO DE ITENS ")</f>
      </c>
      <c r="C438" s="4" t="inlineStr">
        <is>
          <t>Não vendido</t>
        </is>
      </c>
      <c r="D438" s="4" t="inlineStr">
        <is>
          <t>4</t>
        </is>
      </c>
      <c r="E438" s="5" t="inlineStr">
        <is>
          <t>950,00</t>
        </is>
      </c>
      <c r="F438" s="4" t="inlineStr">
        <is>
          <t>150.00</t>
        </is>
      </c>
    </row>
    <row collapsed="false" customFormat="false" customHeight="false" hidden="false" ht="12.1" outlineLevel="0" r="439">
      <c r="A439" s="5" t="s">
        <f>=HYPERLINK("https://www.leilaoonline.com.br/lote/detalhe/52918", "645")</f>
      </c>
      <c r="B439" s="4" t="s">
        <f>=HYPERLINK("https://www.leilaoonline.com.br/lote/detalhe/52918", "OIA-022-2020- 45 ITENS, ELEMENTO FILTRO FLUIDO, CHAVE COMPONENTE E OUTRO - VEJA DESCRITIVO DE ITENS ")</f>
      </c>
      <c r="C439" s="4" t="inlineStr">
        <is>
          <t>Não vendido</t>
        </is>
      </c>
      <c r="D439" s="4" t="inlineStr">
        <is>
          <t>1</t>
        </is>
      </c>
      <c r="E439" s="5" t="inlineStr">
        <is>
          <t>500,00</t>
        </is>
      </c>
      <c r="F439" s="4" t="inlineStr">
        <is>
          <t>150.00</t>
        </is>
      </c>
    </row>
    <row collapsed="false" customFormat="false" customHeight="false" hidden="false" ht="12.1" outlineLevel="0" r="440">
      <c r="A440" s="5" t="s">
        <f>=HYPERLINK("https://www.leilaoonline.com.br/lote/detalhe/52921", "646")</f>
      </c>
      <c r="B440" s="4" t="s">
        <f>=HYPERLINK("https://www.leilaoonline.com.br/lote/detalhe/52921", "OIA-021-2020 - 197 ITENS, BUCHA COMPONENTE, TAMPA, RETENTOR E OUTROS - VEJA DESCRITIVO DE ITENS ")</f>
      </c>
      <c r="C440" s="4" t="inlineStr">
        <is>
          <t>Não vendido</t>
        </is>
      </c>
      <c r="D440" s="4" t="inlineStr">
        <is>
          <t>3</t>
        </is>
      </c>
      <c r="E440" s="5" t="inlineStr">
        <is>
          <t>800,00</t>
        </is>
      </c>
      <c r="F440" s="4" t="inlineStr">
        <is>
          <t>150.00</t>
        </is>
      </c>
    </row>
    <row collapsed="false" customFormat="false" customHeight="false" hidden="false" ht="12.1" outlineLevel="0" r="441">
      <c r="A441" s="5" t="s">
        <f>=HYPERLINK("https://www.leilaoonline.com.br/lote/detalhe/53079", "647")</f>
      </c>
      <c r="B441" s="4" t="s">
        <f>=HYPERLINK("https://www.leilaoonline.com.br/lote/detalhe/53079", "OIA-020-2020 - 60 ITENS, VALVULA COMPONENTES DIVERSAS - VEJA DESCRITIVO DE ITESN ")</f>
      </c>
      <c r="C441" s="4" t="inlineStr">
        <is>
          <t>Não vendido</t>
        </is>
      </c>
      <c r="D441" s="4" t="inlineStr">
        <is>
          <t>9</t>
        </is>
      </c>
      <c r="E441" s="5" t="inlineStr">
        <is>
          <t>1.700,00</t>
        </is>
      </c>
      <c r="F441" s="4" t="inlineStr">
        <is>
          <t>150.00</t>
        </is>
      </c>
    </row>
    <row collapsed="false" customFormat="false" customHeight="false" hidden="false" ht="12.1" outlineLevel="0" r="442">
      <c r="A442" s="5" t="s">
        <f>=HYPERLINK("https://www.leilaoonline.com.br/lote/detalhe/53080", "648")</f>
      </c>
      <c r="B442" s="4" t="s">
        <f>=HYPERLINK("https://www.leilaoonline.com.br/lote/detalhe/53080", "OIA-019-2020- 17 ITENS, MODULOS , BOTÃO - VEJA DESCRITIVO DE ITENS ")</f>
      </c>
      <c r="C442" s="4" t="inlineStr">
        <is>
          <t>Não vendido</t>
        </is>
      </c>
      <c r="D442" s="4" t="inlineStr">
        <is>
          <t>1</t>
        </is>
      </c>
      <c r="E442" s="5" t="inlineStr">
        <is>
          <t>500,00</t>
        </is>
      </c>
      <c r="F442" s="4" t="inlineStr">
        <is>
          <t>500.00</t>
        </is>
      </c>
    </row>
    <row collapsed="false" customFormat="false" customHeight="false" hidden="false" ht="12.1" outlineLevel="0" r="443">
      <c r="A443" s="5" t="s">
        <f>=HYPERLINK("https://www.leilaoonline.com.br/lote/detalhe/53082", "649")</f>
      </c>
      <c r="B443" s="4" t="s">
        <f>=HYPERLINK("https://www.leilaoonline.com.br/lote/detalhe/53082", "OIA-018-2020- 401 ITENS, CONJUNTO ELEMENTO FILTRANTE, FILTROS COMPONENTES- VEJA DESCRITIVO DE ITENS ")</f>
      </c>
      <c r="C443" s="4" t="inlineStr">
        <is>
          <t>Não vendido</t>
        </is>
      </c>
      <c r="D443" s="4" t="inlineStr">
        <is>
          <t>1</t>
        </is>
      </c>
      <c r="E443" s="5" t="inlineStr">
        <is>
          <t>500,00</t>
        </is>
      </c>
      <c r="F443" s="4" t="inlineStr">
        <is>
          <t>150.00</t>
        </is>
      </c>
    </row>
    <row collapsed="false" customFormat="false" customHeight="false" hidden="false" ht="12.1" outlineLevel="0" r="444">
      <c r="A444" s="5" t="s">
        <f>=HYPERLINK("https://www.leilaoonline.com.br/lote/detalhe/53084", "650")</f>
      </c>
      <c r="B444" s="4" t="s">
        <f>=HYPERLINK("https://www.leilaoonline.com.br/lote/detalhe/53084", "OIA-016-2020 - 445 ITENS, BLUSAO PROTEC ARAMIDA, CAMISA PROFISSIONAL NOMEX E OUTROS - VEJA DESCRITIVO DE ITENS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500,00</t>
        </is>
      </c>
      <c r="F444" s="4" t="inlineStr">
        <is>
          <t>150.00</t>
        </is>
      </c>
    </row>
    <row collapsed="false" customFormat="false" customHeight="false" hidden="false" ht="12.1" outlineLevel="0" r="445">
      <c r="A445" s="5" t="s">
        <f>=HYPERLINK("https://www.leilaoonline.com.br/lote/detalhe/53086", "651")</f>
      </c>
      <c r="B445" s="4" t="s">
        <f>=HYPERLINK("https://www.leilaoonline.com.br/lote/detalhe/53086", "OIA-015-2020 - 01 BOMBA COMPONENTE TIPO: PROPU;4050 BOZZA")</f>
      </c>
      <c r="C445" s="4" t="inlineStr">
        <is>
          <t>Não vendido</t>
        </is>
      </c>
      <c r="D445" s="4" t="inlineStr">
        <is>
          <t>3</t>
        </is>
      </c>
      <c r="E445" s="5" t="inlineStr">
        <is>
          <t>800,00</t>
        </is>
      </c>
      <c r="F445" s="4" t="inlineStr">
        <is>
          <t>150.00</t>
        </is>
      </c>
    </row>
    <row collapsed="false" customFormat="false" customHeight="false" hidden="false" ht="12.1" outlineLevel="0" r="446">
      <c r="A446" s="5" t="s">
        <f>=HYPERLINK("https://www.leilaoonline.com.br/lote/detalhe/53137", "652")</f>
      </c>
      <c r="B446" s="4" t="s">
        <f>=HYPERLINK("https://www.leilaoonline.com.br/lote/detalhe/53137", "MUT-043-2020- 74 ITENS, FILTRO DE AR, ELEMENTOS, CORREIAS E OUTROS - VEJA DESCRITIVO DE ITENS 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500,00</t>
        </is>
      </c>
      <c r="F446" s="4" t="inlineStr">
        <is>
          <t>150.00</t>
        </is>
      </c>
    </row>
    <row collapsed="false" customFormat="false" customHeight="false" hidden="false" ht="12.1" outlineLevel="0" r="447">
      <c r="A447" s="5" t="s">
        <f>=HYPERLINK("https://www.leilaoonline.com.br/lote/detalhe/53143", "655")</f>
      </c>
      <c r="B447" s="4" t="s">
        <f>=HYPERLINK("https://www.leilaoonline.com.br/lote/detalhe/53143", "MUT-033-2020 - 08 Poltronas diversas - veja descritivo de itens 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500,00</t>
        </is>
      </c>
      <c r="F447" s="4" t="inlineStr">
        <is>
          <t>150.00</t>
        </is>
      </c>
    </row>
    <row collapsed="false" customFormat="false" customHeight="false" hidden="false" ht="12.1" outlineLevel="0" r="448">
      <c r="A448" s="5" t="s">
        <f>=HYPERLINK("https://www.leilaoonline.com.br/lote/detalhe/53144", "656")</f>
      </c>
      <c r="B448" s="4" t="s">
        <f>=HYPERLINK("https://www.leilaoonline.com.br/lote/detalhe/53144", "MUT-017-2020- 355 ITENS, Juntas e vedações, Mangueiras  - E OUTROS- VEJA DESCRITIVO DE ITENS 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150.00</t>
        </is>
      </c>
    </row>
    <row collapsed="false" customFormat="false" customHeight="false" hidden="false" ht="12.1" outlineLevel="0" r="449">
      <c r="A449" s="5" t="s">
        <f>=HYPERLINK("https://www.leilaoonline.com.br/lote/detalhe/53145", "657")</f>
      </c>
      <c r="B449" s="4" t="s">
        <f>=HYPERLINK("https://www.leilaoonline.com.br/lote/detalhe/53145", "MUT-015-2020- 245 ITENS, FILTRO FLUIDO, LUVAS  E OUTROS- VEJA DESCRITIVO DE ITENS ")</f>
      </c>
      <c r="C449" s="4" t="inlineStr">
        <is>
          <t>Vendido</t>
        </is>
      </c>
      <c r="D449" s="4" t="inlineStr">
        <is>
          <t>1</t>
        </is>
      </c>
      <c r="E449" s="5" t="inlineStr">
        <is>
          <t>500,00</t>
        </is>
      </c>
      <c r="F449" s="4" t="inlineStr">
        <is>
          <t>150.00</t>
        </is>
      </c>
    </row>
    <row collapsed="false" customFormat="false" customHeight="false" hidden="false" ht="12.1" outlineLevel="0" r="450">
      <c r="A450" s="5" t="s">
        <f>=HYPERLINK("https://www.leilaoonline.com.br/lote/detalhe/53146", "658")</f>
      </c>
      <c r="B450" s="4" t="s">
        <f>=HYPERLINK("https://www.leilaoonline.com.br/lote/detalhe/53146", "MUT-014-2020- 3.432 ITENS, FILTRO FLUIDO OLEO DIESEL, ELEMENTO FILT FLUID E OUTROS VEJA DESCRITIVO")</f>
      </c>
      <c r="C450" s="4" t="inlineStr">
        <is>
          <t>Não vendido</t>
        </is>
      </c>
      <c r="D450" s="4" t="inlineStr">
        <is>
          <t>1</t>
        </is>
      </c>
      <c r="E450" s="5" t="inlineStr">
        <is>
          <t>500,00</t>
        </is>
      </c>
      <c r="F450" s="4" t="inlineStr">
        <is>
          <t>150.00</t>
        </is>
      </c>
    </row>
    <row collapsed="false" customFormat="false" customHeight="false" hidden="false" ht="12.1" outlineLevel="0" r="451">
      <c r="A451" s="5" t="s">
        <f>=HYPERLINK("https://www.leilaoonline.com.br/lote/detalhe/53166", "659")</f>
      </c>
      <c r="B451" s="4" t="s">
        <f>=HYPERLINK("https://www.leilaoonline.com.br/lote/detalhe/53166", "MUT-012-2020-45 ITENS, ESTATOR COMPONENTE, MOLA COMPONENTE E OUTROS- VEJA DESCRITIVO")</f>
      </c>
      <c r="C451" s="4" t="inlineStr">
        <is>
          <t>Não vendido</t>
        </is>
      </c>
      <c r="D451" s="4" t="inlineStr">
        <is>
          <t>2</t>
        </is>
      </c>
      <c r="E451" s="5" t="inlineStr">
        <is>
          <t>650,00</t>
        </is>
      </c>
      <c r="F451" s="4" t="inlineStr">
        <is>
          <t>150.00</t>
        </is>
      </c>
    </row>
    <row collapsed="false" customFormat="false" customHeight="false" hidden="false" ht="12.1" outlineLevel="0" r="452">
      <c r="A452" s="5" t="s">
        <f>=HYPERLINK("https://www.leilaoonline.com.br/lote/detalhe/53173", "663")</f>
      </c>
      <c r="B452" s="4" t="s">
        <f>=HYPERLINK("https://www.leilaoonline.com.br/lote/detalhe/53173", "MUT-007-2020,870 ITENS, TERMOSTATO COMPONENTE, VALVULA COMPONENTE E OUTROS- VEJA DESCRITIVO ")</f>
      </c>
      <c r="C452" s="4" t="inlineStr">
        <is>
          <t>Não vendido</t>
        </is>
      </c>
      <c r="D452" s="4" t="inlineStr">
        <is>
          <t>1</t>
        </is>
      </c>
      <c r="E452" s="5" t="inlineStr">
        <is>
          <t>500,00</t>
        </is>
      </c>
      <c r="F452" s="4" t="inlineStr">
        <is>
          <t>150.00</t>
        </is>
      </c>
    </row>
    <row collapsed="false" customFormat="false" customHeight="false" hidden="false" ht="12.1" outlineLevel="0" r="453">
      <c r="A453" s="5" t="s">
        <f>=HYPERLINK("https://www.leilaoonline.com.br/lote/detalhe/53176", "664")</f>
      </c>
      <c r="B453" s="4" t="s">
        <f>=HYPERLINK("https://www.leilaoonline.com.br/lote/detalhe/53176", "MUT-005-2020, 190 ITENS, VALVULA CONTROLE , BICO PULVERIZADOR E OUTROS- VEJA DESCRITIVO ")</f>
      </c>
      <c r="C453" s="4" t="inlineStr">
        <is>
          <t>Não vendido</t>
        </is>
      </c>
      <c r="D453" s="4" t="inlineStr">
        <is>
          <t>1</t>
        </is>
      </c>
      <c r="E453" s="5" t="inlineStr">
        <is>
          <t>500,00</t>
        </is>
      </c>
      <c r="F453" s="4" t="inlineStr">
        <is>
          <t>150.00</t>
        </is>
      </c>
    </row>
    <row collapsed="false" customFormat="false" customHeight="false" hidden="false" ht="12.1" outlineLevel="0" r="454">
      <c r="A454" s="5" t="s">
        <f>=HYPERLINK("https://www.leilaoonline.com.br/lote/detalhe/53180", "665")</f>
      </c>
      <c r="B454" s="4" t="s">
        <f>=HYPERLINK("https://www.leilaoonline.com.br/lote/detalhe/53180", "MCR-074-2020, BOBINA, RETENTOR  E OUTROS- VEJA DESCRITIVO ")</f>
      </c>
      <c r="C454" s="4" t="inlineStr">
        <is>
          <t>Vendido</t>
        </is>
      </c>
      <c r="D454" s="4" t="inlineStr">
        <is>
          <t>2</t>
        </is>
      </c>
      <c r="E454" s="5" t="inlineStr">
        <is>
          <t>650,00</t>
        </is>
      </c>
      <c r="F454" s="4" t="inlineStr">
        <is>
          <t>150.00</t>
        </is>
      </c>
    </row>
    <row collapsed="false" customFormat="false" customHeight="false" hidden="false" ht="12.1" outlineLevel="0" r="455">
      <c r="A455" s="5" t="s">
        <f>=HYPERLINK("https://www.leilaoonline.com.br/lote/detalhe/53181", "666")</f>
      </c>
      <c r="B455" s="4" t="s">
        <f>=HYPERLINK("https://www.leilaoonline.com.br/lote/detalhe/53181", "MCR-073-2020, 07 ITENS, EIXOS DIVERSOS - VEJA DESCRITIVO DE ITENS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500,00</t>
        </is>
      </c>
      <c r="F455" s="4" t="inlineStr">
        <is>
          <t>150.00</t>
        </is>
      </c>
    </row>
    <row collapsed="false" customFormat="false" customHeight="false" hidden="false" ht="12.1" outlineLevel="0" r="456">
      <c r="A456" s="5" t="s">
        <f>=HYPERLINK("https://www.leilaoonline.com.br/lote/detalhe/53183", "667")</f>
      </c>
      <c r="B456" s="4" t="s">
        <f>=HYPERLINK("https://www.leilaoonline.com.br/lote/detalhe/53183", "MCR-072-2020, 56 ITENS, MANCAL, SENSOR, BUCHAS E OUTROS- VEJA DESCRITIVO DE ITENS 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500,00</t>
        </is>
      </c>
      <c r="F456" s="4" t="inlineStr">
        <is>
          <t>150.00</t>
        </is>
      </c>
    </row>
    <row collapsed="false" customFormat="false" customHeight="false" hidden="false" ht="12.1" outlineLevel="0" r="457">
      <c r="A457" s="5" t="s">
        <f>=HYPERLINK("https://www.leilaoonline.com.br/lote/detalhe/53185", "668")</f>
      </c>
      <c r="B457" s="4" t="s">
        <f>=HYPERLINK("https://www.leilaoonline.com.br/lote/detalhe/53185", "MCR-066-2020, 265 ITENS, TUBO MONTADO, CANTONEIRA E OUTROS- VEJA DESCRITIVO DE ITENS")</f>
      </c>
      <c r="C457" s="4" t="inlineStr">
        <is>
          <t>Não vendido</t>
        </is>
      </c>
      <c r="D457" s="4" t="inlineStr">
        <is>
          <t>2</t>
        </is>
      </c>
      <c r="E457" s="5" t="inlineStr">
        <is>
          <t>650,00</t>
        </is>
      </c>
      <c r="F457" s="4" t="inlineStr">
        <is>
          <t>150.00</t>
        </is>
      </c>
    </row>
    <row collapsed="false" customFormat="false" customHeight="false" hidden="false" ht="12.1" outlineLevel="0" r="458">
      <c r="A458" s="5" t="s">
        <f>=HYPERLINK("https://www.leilaoonline.com.br/lote/detalhe/53191", "670")</f>
      </c>
      <c r="B458" s="4" t="s">
        <f>=HYPERLINK("https://www.leilaoonline.com.br/lote/detalhe/53191", "MCR-063-2020 -01 FOGAO, USADO, COM 06 BOCAS COR BRANCO  CLEN ACENDIMENTO. AUTOMATICO 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100,00</t>
        </is>
      </c>
      <c r="F458" s="4" t="inlineStr">
        <is>
          <t>100.00</t>
        </is>
      </c>
    </row>
    <row collapsed="false" customFormat="false" customHeight="false" hidden="false" ht="12.1" outlineLevel="0" r="459">
      <c r="A459" s="5" t="s">
        <f>=HYPERLINK("https://www.leilaoonline.com.br/lote/detalhe/53192", "671")</f>
      </c>
      <c r="B459" s="4" t="s">
        <f>=HYPERLINK("https://www.leilaoonline.com.br/lote/detalhe/53192", "MCR-062-2020- APROX. 54 CADEIRAS DIVERSAS - LOC. Corumbá/MS")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100,00</t>
        </is>
      </c>
      <c r="F459" s="4" t="inlineStr">
        <is>
          <t>100.00</t>
        </is>
      </c>
    </row>
    <row collapsed="false" customFormat="false" customHeight="false" hidden="false" ht="12.1" outlineLevel="0" r="460">
      <c r="A460" s="5" t="s">
        <f>=HYPERLINK("https://www.leilaoonline.com.br/lote/detalhe/53193", "672")</f>
      </c>
      <c r="B460" s="4" t="s">
        <f>=HYPERLINK("https://www.leilaoonline.com.br/lote/detalhe/53193", "MCR-057-2020-6 ITENS, AMOSTRADOR DE CORREIA - LOC. Corumbá/MS")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500,00</t>
        </is>
      </c>
      <c r="F460" s="4" t="inlineStr">
        <is>
          <t>100.00</t>
        </is>
      </c>
    </row>
    <row collapsed="false" customFormat="false" customHeight="false" hidden="false" ht="12.1" outlineLevel="0" r="461">
      <c r="A461" s="5" t="s">
        <f>=HYPERLINK("https://www.leilaoonline.com.br/lote/detalhe/53194", "673")</f>
      </c>
      <c r="B461" s="4" t="s">
        <f>=HYPERLINK("https://www.leilaoonline.com.br/lote/detalhe/53194", "MCR-054-2020 - APROX. 6 Bebedouro de coulna para garrafão- LOC. LOC. Corumbá/MS")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100.00</t>
        </is>
      </c>
    </row>
    <row collapsed="false" customFormat="false" customHeight="false" hidden="false" ht="12.1" outlineLevel="0" r="462">
      <c r="A462" s="5" t="s">
        <f>=HYPERLINK("https://www.leilaoonline.com.br/lote/detalhe/53196", "674")</f>
      </c>
      <c r="B462" s="4" t="s">
        <f>=HYPERLINK("https://www.leilaoonline.com.br/lote/detalhe/53196", "MCR-053-2020-49 CADEIRAS DIVERSAS ,  VEJA DESCRITIVO DE ITENS- LOC. Corumbá/MS")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100,00</t>
        </is>
      </c>
      <c r="F462" s="4" t="inlineStr">
        <is>
          <t>100.00</t>
        </is>
      </c>
    </row>
    <row collapsed="false" customFormat="false" customHeight="false" hidden="false" ht="12.1" outlineLevel="0" r="463">
      <c r="A463" s="5" t="s">
        <f>=HYPERLINK("https://www.leilaoonline.com.br/lote/detalhe/53202", "675")</f>
      </c>
      <c r="B463" s="4" t="s">
        <f>=HYPERLINK("https://www.leilaoonline.com.br/lote/detalhe/53202", "MCR-052-2020-APROX. 132 ITENS, CADEIRAS DIVERSAS- VEJA DESCRITIVO DE ITENS 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250,00</t>
        </is>
      </c>
      <c r="F463" s="4" t="inlineStr">
        <is>
          <t>150.00</t>
        </is>
      </c>
    </row>
    <row collapsed="false" customFormat="false" customHeight="false" hidden="false" ht="12.1" outlineLevel="0" r="464">
      <c r="A464" s="5" t="s">
        <f>=HYPERLINK("https://www.leilaoonline.com.br/lote/detalhe/53205", "676")</f>
      </c>
      <c r="B464" s="4" t="s">
        <f>=HYPERLINK("https://www.leilaoonline.com.br/lote/detalhe/53205", "MCR-050-2020, 78 ITENS, TERMINAIS, MANGUEIRAS E OUTROS - VEJA DESCRITIVO DE ITENS 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500,00</t>
        </is>
      </c>
      <c r="F464" s="4" t="inlineStr">
        <is>
          <t>150.00</t>
        </is>
      </c>
    </row>
    <row collapsed="false" customFormat="false" customHeight="false" hidden="false" ht="12.1" outlineLevel="0" r="465">
      <c r="A465" s="5" t="s">
        <f>=HYPERLINK("https://www.leilaoonline.com.br/lote/detalhe/53209", "677")</f>
      </c>
      <c r="B465" s="4" t="s">
        <f>=HYPERLINK("https://www.leilaoonline.com.br/lote/detalhe/53209", "MCR-049-2020, 164 ITENS, JOGO DE REPARO;VOLVO, ANEIS , GAXETAS E OUTROS- VEJA DESCRITIVO DE ITENS")</f>
      </c>
      <c r="C465" s="4" t="inlineStr">
        <is>
          <t>Não vendido</t>
        </is>
      </c>
      <c r="D465" s="4" t="inlineStr">
        <is>
          <t>1</t>
        </is>
      </c>
      <c r="E465" s="5" t="inlineStr">
        <is>
          <t>500,00</t>
        </is>
      </c>
      <c r="F465" s="4" t="inlineStr">
        <is>
          <t>150.00</t>
        </is>
      </c>
    </row>
    <row collapsed="false" customFormat="false" customHeight="false" hidden="false" ht="12.1" outlineLevel="0" r="466">
      <c r="A466" s="5" t="s">
        <f>=HYPERLINK("https://www.leilaoonline.com.br/lote/detalhe/53211", "678")</f>
      </c>
      <c r="B466" s="4" t="s">
        <f>=HYPERLINK("https://www.leilaoonline.com.br/lote/detalhe/53211", "MCR-048-2020, 31 ITENS, JG;HIGIENICO;MOTOR CAMINHAO A25 VOLVO - VEJA DESCRITIVO DE ITENS ")</f>
      </c>
      <c r="C466" s="4" t="inlineStr">
        <is>
          <t>Vendido</t>
        </is>
      </c>
      <c r="D466" s="4" t="inlineStr">
        <is>
          <t>4</t>
        </is>
      </c>
      <c r="E466" s="5" t="inlineStr">
        <is>
          <t>900,00</t>
        </is>
      </c>
      <c r="F466" s="4" t="inlineStr">
        <is>
          <t>150.00</t>
        </is>
      </c>
    </row>
    <row collapsed="false" customFormat="false" customHeight="false" hidden="false" ht="12.1" outlineLevel="0" r="467">
      <c r="A467" s="5" t="s">
        <f>=HYPERLINK("https://www.leilaoonline.com.br/lote/detalhe/53213", "679")</f>
      </c>
      <c r="B467" s="4" t="s">
        <f>=HYPERLINK("https://www.leilaoonline.com.br/lote/detalhe/53213", "MCR-047-2020,1627 ITENS, BOCAIS, CARCAÇAS PLANET DE CARREGADEIRAS- VEJA DESCRITIVO DE ITENS ")</f>
      </c>
      <c r="C467" s="4" t="inlineStr">
        <is>
          <t>Não vendido</t>
        </is>
      </c>
      <c r="D467" s="4" t="inlineStr">
        <is>
          <t>2</t>
        </is>
      </c>
      <c r="E467" s="5" t="inlineStr">
        <is>
          <t>600,00</t>
        </is>
      </c>
      <c r="F467" s="4" t="inlineStr">
        <is>
          <t>150.00</t>
        </is>
      </c>
    </row>
    <row collapsed="false" customFormat="false" customHeight="false" hidden="false" ht="12.1" outlineLevel="0" r="468">
      <c r="A468" s="5" t="s">
        <f>=HYPERLINK("https://www.leilaoonline.com.br/lote/detalhe/53223", "680")</f>
      </c>
      <c r="B468" s="4" t="s">
        <f>=HYPERLINK("https://www.leilaoonline.com.br/lote/detalhe/53223", "MCR-046-2020, 74 ITENS,CONTATO;TELEMECANIQUE, FUSIVEL -VEJA DESCRITIVO DE ITENS 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500,00</t>
        </is>
      </c>
      <c r="F468" s="4" t="inlineStr">
        <is>
          <t>150.00</t>
        </is>
      </c>
    </row>
    <row collapsed="false" customFormat="false" customHeight="false" hidden="false" ht="12.1" outlineLevel="0" r="469">
      <c r="A469" s="5" t="s">
        <f>=HYPERLINK("https://www.leilaoonline.com.br/lote/detalhe/53253", "681")</f>
      </c>
      <c r="B469" s="4" t="s">
        <f>=HYPERLINK("https://www.leilaoonline.com.br/lote/detalhe/53253", "MCR-045-2020- 03  TRANSDUTOR 5573899500 ATLAS COPCO")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500,00</t>
        </is>
      </c>
      <c r="F469" s="4" t="inlineStr">
        <is>
          <t>150.00</t>
        </is>
      </c>
    </row>
    <row collapsed="false" customFormat="false" customHeight="false" hidden="false" ht="12.1" outlineLevel="0" r="470">
      <c r="A470" s="5" t="s">
        <f>=HYPERLINK("https://www.leilaoonline.com.br/lote/detalhe/53254", "682")</f>
      </c>
      <c r="B470" s="4" t="s">
        <f>=HYPERLINK("https://www.leilaoonline.com.br/lote/detalhe/53254", "MCR-044-2020- APROX. 135 ANEIS VED 2751700 XYLEM - LOC. Corumbá/MS")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500,00</t>
        </is>
      </c>
      <c r="F470" s="4" t="inlineStr">
        <is>
          <t>150.00</t>
        </is>
      </c>
    </row>
    <row collapsed="false" customFormat="false" customHeight="false" hidden="false" ht="12.1" outlineLevel="0" r="471">
      <c r="A471" s="5" t="s">
        <f>=HYPERLINK("https://www.leilaoonline.com.br/lote/detalhe/53258", "684")</f>
      </c>
      <c r="B471" s="4" t="s">
        <f>=HYPERLINK("https://www.leilaoonline.com.br/lote/detalhe/53258", "MCR-042-2020- 28 ITENS, BOMBAS, BUCHAS, ANEIS - VEJADESCRITIVO DE ITENS ")</f>
      </c>
      <c r="C471" s="4" t="inlineStr">
        <is>
          <t>Não vendido</t>
        </is>
      </c>
      <c r="D471" s="4" t="inlineStr">
        <is>
          <t>1</t>
        </is>
      </c>
      <c r="E471" s="5" t="inlineStr">
        <is>
          <t>500,00</t>
        </is>
      </c>
      <c r="F471" s="4" t="inlineStr">
        <is>
          <t>150.00</t>
        </is>
      </c>
    </row>
    <row collapsed="false" customFormat="false" customHeight="false" hidden="false" ht="12.1" outlineLevel="0" r="472">
      <c r="A472" s="5" t="s">
        <f>=HYPERLINK("https://www.leilaoonline.com.br/lote/detalhe/53261", "685")</f>
      </c>
      <c r="B472" s="4" t="s">
        <f>=HYPERLINK("https://www.leilaoonline.com.br/lote/detalhe/53261", "MCR-041-2020,63 ITENS BEXIGA ACUMULADOR, KIT REPARO E OUTROS- VEJA DESCRITIVO DE ITENS 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500,00</t>
        </is>
      </c>
      <c r="F472" s="4" t="inlineStr">
        <is>
          <t>150.00</t>
        </is>
      </c>
    </row>
    <row collapsed="false" customFormat="false" customHeight="false" hidden="false" ht="12.1" outlineLevel="0" r="473">
      <c r="A473" s="5" t="s">
        <f>=HYPERLINK("https://www.leilaoonline.com.br/lote/detalhe/53264", "686")</f>
      </c>
      <c r="B473" s="4" t="s">
        <f>=HYPERLINK("https://www.leilaoonline.com.br/lote/detalhe/53264", "MCR-040-2020- 68 ITENS, PINOS , PORCA , SENSORES E OUTROS -  VEJA DESCRITIVO DE ITENS ")</f>
      </c>
      <c r="C473" s="4" t="inlineStr">
        <is>
          <t>Vendido</t>
        </is>
      </c>
      <c r="D473" s="4" t="inlineStr">
        <is>
          <t>3</t>
        </is>
      </c>
      <c r="E473" s="5" t="inlineStr">
        <is>
          <t>800,00</t>
        </is>
      </c>
      <c r="F473" s="4" t="inlineStr">
        <is>
          <t>150.00</t>
        </is>
      </c>
    </row>
    <row collapsed="false" customFormat="false" customHeight="false" hidden="false" ht="12.1" outlineLevel="0" r="474">
      <c r="A474" s="5" t="s">
        <f>=HYPERLINK("https://www.leilaoonline.com.br/lote/detalhe/53266", "687")</f>
      </c>
      <c r="B474" s="4" t="s">
        <f>=HYPERLINK("https://www.leilaoonline.com.br/lote/detalhe/53266", "MCR-039-2020-80 ITENS, FILTRO FLUID AR, ELEMENTO FILTR 4T 3131 CATERPILLAR- VEJA DESCRITIVO DE ITENS 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500,00</t>
        </is>
      </c>
      <c r="F474" s="4" t="inlineStr">
        <is>
          <t>150.00</t>
        </is>
      </c>
    </row>
    <row collapsed="false" customFormat="false" customHeight="false" hidden="false" ht="12.1" outlineLevel="0" r="475">
      <c r="A475" s="5" t="s">
        <f>=HYPERLINK("https://www.leilaoonline.com.br/lote/detalhe/53267", "688")</f>
      </c>
      <c r="B475" s="4" t="s">
        <f>=HYPERLINK("https://www.leilaoonline.com.br/lote/detalhe/53267", "MCR-038-2020- 890 ITENS, KIT VEDACAO, ACOPLAMENTO;VIBRADOR E OUTROS- VEJA DESCRITIVO DE ITENS ")</f>
      </c>
      <c r="C475" s="4" t="inlineStr">
        <is>
          <t>Não vendido</t>
        </is>
      </c>
      <c r="D475" s="4" t="inlineStr">
        <is>
          <t>2</t>
        </is>
      </c>
      <c r="E475" s="5" t="inlineStr">
        <is>
          <t>650,00</t>
        </is>
      </c>
      <c r="F475" s="4" t="inlineStr">
        <is>
          <t>150.00</t>
        </is>
      </c>
    </row>
    <row collapsed="false" customFormat="false" customHeight="false" hidden="false" ht="12.1" outlineLevel="0" r="476">
      <c r="A476" s="5" t="s">
        <f>=HYPERLINK("https://www.leilaoonline.com.br/lote/detalhe/53269", "689")</f>
      </c>
      <c r="B476" s="4" t="s">
        <f>=HYPERLINK("https://www.leilaoonline.com.br/lote/detalhe/53269", "MCR-037-2020- 672 ITENS , ARRUELAS, PARAFUSOS E OUTROS - VEJA DESCRITIVO DE ITENS 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500,00</t>
        </is>
      </c>
      <c r="F476" s="4" t="inlineStr">
        <is>
          <t>150.00</t>
        </is>
      </c>
    </row>
    <row collapsed="false" customFormat="false" customHeight="false" hidden="false" ht="12.1" outlineLevel="0" r="477">
      <c r="A477" s="5" t="s">
        <f>=HYPERLINK("https://www.leilaoonline.com.br/lote/detalhe/53271", "690")</f>
      </c>
      <c r="B477" s="4" t="s">
        <f>=HYPERLINK("https://www.leilaoonline.com.br/lote/detalhe/53271", "MCR-035-2020- 1032 ITENS, GAXETAS , ABRAÇADEIRAS, ARRUELAS E OUTROS - VEJA DESCRITIVO DE ITENS ")</f>
      </c>
      <c r="C477" s="4" t="inlineStr">
        <is>
          <t>Vendido</t>
        </is>
      </c>
      <c r="D477" s="4" t="inlineStr">
        <is>
          <t>2</t>
        </is>
      </c>
      <c r="E477" s="5" t="inlineStr">
        <is>
          <t>650,00</t>
        </is>
      </c>
      <c r="F477" s="4" t="inlineStr">
        <is>
          <t>150.00</t>
        </is>
      </c>
    </row>
    <row collapsed="false" customFormat="false" customHeight="false" hidden="false" ht="12.1" outlineLevel="0" r="478">
      <c r="A478" s="5" t="s">
        <f>=HYPERLINK("https://www.leilaoonline.com.br/lote/detalhe/53272", "691")</f>
      </c>
      <c r="B478" s="4" t="s">
        <f>=HYPERLINK("https://www.leilaoonline.com.br/lote/detalhe/53272", "MCR-034-2020- 392 ITENS, FUSIVEIS, SENSORES, BUCHAS E OUTROS- VEJA DESCRITIVO DE ITENS ")</f>
      </c>
      <c r="C478" s="4" t="inlineStr">
        <is>
          <t>Não vendido</t>
        </is>
      </c>
      <c r="D478" s="4" t="inlineStr">
        <is>
          <t>1</t>
        </is>
      </c>
      <c r="E478" s="5" t="inlineStr">
        <is>
          <t>500,00</t>
        </is>
      </c>
      <c r="F478" s="4" t="inlineStr">
        <is>
          <t>150.00</t>
        </is>
      </c>
    </row>
    <row collapsed="false" customFormat="false" customHeight="false" hidden="false" ht="12.1" outlineLevel="0" r="479">
      <c r="A479" s="5" t="s">
        <f>=HYPERLINK("https://www.leilaoonline.com.br/lote/detalhe/53274", "692")</f>
      </c>
      <c r="B479" s="4" t="s">
        <f>=HYPERLINK("https://www.leilaoonline.com.br/lote/detalhe/53274", "MCR-033-2020- 3.012 ITENS, CAPA PRENSÁVEL, TERMINAL PRENSÁVEL FLANGE E OUTROS - VEJA DESCRITIVO DE ITENS ")</f>
      </c>
      <c r="C479" s="4" t="inlineStr">
        <is>
          <t>Não vendido</t>
        </is>
      </c>
      <c r="D479" s="4" t="inlineStr">
        <is>
          <t>1</t>
        </is>
      </c>
      <c r="E479" s="5" t="inlineStr">
        <is>
          <t>500,00</t>
        </is>
      </c>
      <c r="F479" s="4" t="inlineStr">
        <is>
          <t>150.00</t>
        </is>
      </c>
    </row>
    <row collapsed="false" customFormat="false" customHeight="false" hidden="false" ht="12.1" outlineLevel="0" r="480">
      <c r="A480" s="5" t="s">
        <f>=HYPERLINK("https://www.leilaoonline.com.br/lote/detalhe/53275", "693")</f>
      </c>
      <c r="B480" s="4" t="s">
        <f>=HYPERLINK("https://www.leilaoonline.com.br/lote/detalhe/53275", "MCR-032-2020- 1.047 ITENS, VALVULAS REGULÁVEL, MANÔMETRO, ELEMENTO E OUTROS- VEJA DESCRITIVO DE ITENS ")</f>
      </c>
      <c r="C480" s="4" t="inlineStr">
        <is>
          <t>Não vendido</t>
        </is>
      </c>
      <c r="D480" s="4" t="inlineStr">
        <is>
          <t>1</t>
        </is>
      </c>
      <c r="E480" s="5" t="inlineStr">
        <is>
          <t>500,00</t>
        </is>
      </c>
      <c r="F480" s="4" t="inlineStr">
        <is>
          <t>150.00</t>
        </is>
      </c>
    </row>
    <row collapsed="false" customFormat="false" customHeight="false" hidden="false" ht="12.1" outlineLevel="0" r="481">
      <c r="A481" s="5" t="s">
        <f>=HYPERLINK("https://www.leilaoonline.com.br/lote/detalhe/53278", "694")</f>
      </c>
      <c r="B481" s="4" t="s">
        <f>=HYPERLINK("https://www.leilaoonline.com.br/lote/detalhe/53278", "MCR-030-2020- 51 ITENS, Juntas e vedações, BOMBAS E OUTROS- VEJA DESCRITIVO DE ITENS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500,00</t>
        </is>
      </c>
      <c r="F481" s="4" t="inlineStr">
        <is>
          <t>150.00</t>
        </is>
      </c>
    </row>
    <row collapsed="false" customFormat="false" customHeight="false" hidden="false" ht="12.1" outlineLevel="0" r="482">
      <c r="A482" s="5" t="s">
        <f>=HYPERLINK("https://www.leilaoonline.com.br/lote/detalhe/53280", "695")</f>
      </c>
      <c r="B482" s="4" t="s">
        <f>=HYPERLINK("https://www.leilaoonline.com.br/lote/detalhe/53280", "MCR-029-2020-18 ITENS, TRANSMISSAO DE FORCA MECANICA, ACOPLAMENTOS E OUTROS - VEJA DESCRITIVO DE ITENS ")</f>
      </c>
      <c r="C482" s="4" t="inlineStr">
        <is>
          <t>Vendido</t>
        </is>
      </c>
      <c r="D482" s="4" t="inlineStr">
        <is>
          <t>4</t>
        </is>
      </c>
      <c r="E482" s="5" t="inlineStr">
        <is>
          <t>950,00</t>
        </is>
      </c>
      <c r="F482" s="4" t="inlineStr">
        <is>
          <t>150.00</t>
        </is>
      </c>
    </row>
    <row collapsed="false" customFormat="false" customHeight="false" hidden="false" ht="12.1" outlineLevel="0" r="483">
      <c r="A483" s="5" t="s">
        <f>=HYPERLINK("https://www.leilaoonline.com.br/lote/detalhe/45380", "696")</f>
      </c>
      <c r="B483" s="4" t="s">
        <f>=HYPERLINK("https://www.leilaoonline.com.br/lote/detalhe/45380", "ITA-029-2020 - 270 ITENS - MATERIAL: Baterias, pilhas E Outros - veja descritivo de itens  - LOC. ITABIRA/MG")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300,00</t>
        </is>
      </c>
      <c r="F483" s="4" t="inlineStr">
        <is>
          <t>100.00</t>
        </is>
      </c>
    </row>
    <row collapsed="false" customFormat="false" customHeight="false" hidden="false" ht="12.1" outlineLevel="0" r="484">
      <c r="A484" s="5" t="s">
        <f>=HYPERLINK("https://www.leilaoonline.com.br/lote/detalhe/53286", "697")</f>
      </c>
      <c r="B484" s="4" t="s">
        <f>=HYPERLINK("https://www.leilaoonline.com.br/lote/detalhe/53286", "TIG-017-2020- 02 PEÇAS MATERIAL DEFENSA EG-9000RB-D-00001_REV_A")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500,00</t>
        </is>
      </c>
      <c r="F484" s="4" t="inlineStr">
        <is>
          <t>150.00</t>
        </is>
      </c>
    </row>
    <row collapsed="false" customFormat="false" customHeight="false" hidden="false" ht="12.1" outlineLevel="0" r="485">
      <c r="A485" s="5" t="s">
        <f>=HYPERLINK("https://www.leilaoonline.com.br/lote/detalhe/53289", "698")</f>
      </c>
      <c r="B485" s="4" t="s">
        <f>=HYPERLINK("https://www.leilaoonline.com.br/lote/detalhe/53289", "TIG-015-2020-02 ITENS CABO ACO 1/2POL ABNT NBR 6327, CALCADO SEGURANCA 45 PU BIDENS INJET")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500,00</t>
        </is>
      </c>
      <c r="F485" s="4" t="inlineStr">
        <is>
          <t>150.00</t>
        </is>
      </c>
    </row>
    <row collapsed="false" customFormat="false" customHeight="false" hidden="false" ht="12.1" outlineLevel="0" r="486">
      <c r="A486" s="5" t="s">
        <f>=HYPERLINK("https://www.leilaoonline.com.br/lote/detalhe/53292", "699")</f>
      </c>
      <c r="B486" s="4" t="s">
        <f>=HYPERLINK("https://www.leilaoonline.com.br/lote/detalhe/53292", "SLB-019-2020- 444 ITENS, PLACA BATENTE, CAIXA ROLAMENTOS, PARAFUSOS E OUTROS- VEJA DESCRITIVO DE ITENS ")</f>
      </c>
      <c r="C486" s="4" t="inlineStr">
        <is>
          <t>Não vendido</t>
        </is>
      </c>
      <c r="D486" s="4" t="inlineStr">
        <is>
          <t>5</t>
        </is>
      </c>
      <c r="E486" s="5" t="inlineStr">
        <is>
          <t>1.100,00</t>
        </is>
      </c>
      <c r="F486" s="4" t="inlineStr">
        <is>
          <t>150.00</t>
        </is>
      </c>
    </row>
    <row collapsed="false" customFormat="false" customHeight="false" hidden="false" ht="12.1" outlineLevel="0" r="487">
      <c r="A487" s="5" t="s">
        <f>=HYPERLINK("https://www.leilaoonline.com.br/lote/detalhe/53293", "700")</f>
      </c>
      <c r="B487" s="4" t="s">
        <f>=HYPERLINK("https://www.leilaoonline.com.br/lote/detalhe/53293", "SLB-018-2020, 17 ITENS, GAVETAS EXTRAIVEIS- VEJUA DESCRITIVO DE ITENS ")</f>
      </c>
      <c r="C487" s="4" t="inlineStr">
        <is>
          <t>Não vendido</t>
        </is>
      </c>
      <c r="D487" s="4" t="inlineStr">
        <is>
          <t>0</t>
        </is>
      </c>
      <c r="E487" s="5" t="inlineStr">
        <is>
          <t>500,00</t>
        </is>
      </c>
      <c r="F487" s="4" t="inlineStr">
        <is>
          <t>150.00</t>
        </is>
      </c>
    </row>
    <row collapsed="false" customFormat="false" customHeight="false" hidden="false" ht="12.1" outlineLevel="0" r="488">
      <c r="A488" s="5" t="s">
        <f>=HYPERLINK("https://www.leilaoonline.com.br/lote/detalhe/53294", "701")</f>
      </c>
      <c r="B488" s="4" t="s">
        <f>=HYPERLINK("https://www.leilaoonline.com.br/lote/detalhe/53294", "SLB-017-2020- 20 ITENS, GAVETAS EXTRAIVEIS- VEJA DESCRITIVO DE ITENS 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500,00</t>
        </is>
      </c>
      <c r="F488" s="4" t="inlineStr">
        <is>
          <t>150.00</t>
        </is>
      </c>
    </row>
    <row collapsed="false" customFormat="false" customHeight="false" hidden="false" ht="12.1" outlineLevel="0" r="489">
      <c r="A489" s="5" t="s">
        <f>=HYPERLINK("https://www.leilaoonline.com.br/lote/detalhe/53296", "702")</f>
      </c>
      <c r="B489" s="4" t="s">
        <f>=HYPERLINK("https://www.leilaoonline.com.br/lote/detalhe/53296", "SLB-016-2020- 163 ITENS, ANEIS VEDAÇÕES, PARAFUSOS E OUTROS- VEJA DESCRITIVO DE ITENS ")</f>
      </c>
      <c r="C489" s="4" t="inlineStr">
        <is>
          <t>Não vendido</t>
        </is>
      </c>
      <c r="D489" s="4" t="inlineStr">
        <is>
          <t>1</t>
        </is>
      </c>
      <c r="E489" s="5" t="inlineStr">
        <is>
          <t>500,00</t>
        </is>
      </c>
      <c r="F489" s="4" t="inlineStr">
        <is>
          <t>150.00</t>
        </is>
      </c>
    </row>
    <row collapsed="false" customFormat="false" customHeight="false" hidden="false" ht="12.1" outlineLevel="0" r="490">
      <c r="A490" s="5" t="s">
        <f>=HYPERLINK("https://www.leilaoonline.com.br/lote/detalhe/52761", "703")</f>
      </c>
      <c r="B490" s="4" t="s">
        <f>=HYPERLINK("https://www.leilaoonline.com.br/lote/detalhe/52761", "082-020-2020 - 5 ITENS - Móveis e utensílios DIVERSOS - VEJA DESCRITIVO DE ITENS")</f>
      </c>
      <c r="C490" s="4" t="inlineStr">
        <is>
          <t>Vendido</t>
        </is>
      </c>
      <c r="D490" s="4" t="inlineStr">
        <is>
          <t>2</t>
        </is>
      </c>
      <c r="E490" s="5" t="inlineStr">
        <is>
          <t>450,00</t>
        </is>
      </c>
      <c r="F490" s="4" t="inlineStr">
        <is>
          <t>150.00</t>
        </is>
      </c>
    </row>
    <row collapsed="false" customFormat="false" customHeight="false" hidden="false" ht="12.1" outlineLevel="0" r="491">
      <c r="A491" s="5" t="s">
        <f>=HYPERLINK("https://www.leilaoonline.com.br/lote/detalhe/52764", "704")</f>
      </c>
      <c r="B491" s="4" t="s">
        <f>=HYPERLINK("https://www.leilaoonline.com.br/lote/detalhe/52764", "082-036-2020 - 9 ITENS - REFRIGERADORES DIVERSOS - VEJA DESCRITIVO DE ITENS")</f>
      </c>
      <c r="C491" s="4" t="inlineStr">
        <is>
          <t>Não vendido</t>
        </is>
      </c>
      <c r="D491" s="4" t="inlineStr">
        <is>
          <t>3</t>
        </is>
      </c>
      <c r="E491" s="5" t="inlineStr">
        <is>
          <t>800,00</t>
        </is>
      </c>
      <c r="F491" s="4" t="inlineStr">
        <is>
          <t>150.00</t>
        </is>
      </c>
    </row>
    <row collapsed="false" customFormat="false" customHeight="false" hidden="false" ht="12.1" outlineLevel="0" r="492">
      <c r="A492" s="5" t="s">
        <f>=HYPERLINK("https://www.leilaoonline.com.br/lote/detalhe/52789", "717")</f>
      </c>
      <c r="B492" s="4" t="s">
        <f>=HYPERLINK("https://www.leilaoonline.com.br/lote/detalhe/52789", "082-075-2020 - 1 JOGO DE SAPATA DESLIZANTE 311T-M-15005 DESENHO V")</f>
      </c>
      <c r="C492" s="4" t="inlineStr">
        <is>
          <t>Não vendido</t>
        </is>
      </c>
      <c r="D492" s="4" t="inlineStr">
        <is>
          <t>1</t>
        </is>
      </c>
      <c r="E492" s="5" t="inlineStr">
        <is>
          <t>5.000,00</t>
        </is>
      </c>
      <c r="F492" s="4" t="inlineStr">
        <is>
          <t>250.00</t>
        </is>
      </c>
    </row>
    <row collapsed="false" customFormat="false" customHeight="false" hidden="false" ht="12.1" outlineLevel="0" r="493">
      <c r="A493" s="5" t="s">
        <f>=HYPERLINK("https://www.leilaoonline.com.br/lote/detalhe/52790", "718")</f>
      </c>
      <c r="B493" s="4" t="s">
        <f>=HYPERLINK("https://www.leilaoonline.com.br/lote/detalhe/52790", "082-076-2020 - APROX. 157 ITENS - Peças acessórios equipamentos carregamento elevação E OUTROS - VEJA DESCRITIVO DE ITENS")</f>
      </c>
      <c r="C493" s="4" t="inlineStr">
        <is>
          <t>Não vendido</t>
        </is>
      </c>
      <c r="D493" s="4" t="inlineStr">
        <is>
          <t>9</t>
        </is>
      </c>
      <c r="E493" s="5" t="inlineStr">
        <is>
          <t>1.700,00</t>
        </is>
      </c>
      <c r="F493" s="4" t="inlineStr">
        <is>
          <t>150.00</t>
        </is>
      </c>
    </row>
    <row collapsed="false" customFormat="false" customHeight="false" hidden="false" ht="12.1" outlineLevel="0" r="494">
      <c r="A494" s="5" t="s">
        <f>=HYPERLINK("https://www.leilaoonline.com.br/lote/detalhe/52791", "719")</f>
      </c>
      <c r="B494" s="4" t="s">
        <f>=HYPERLINK("https://www.leilaoonline.com.br/lote/detalhe/52791", "082-077-2020 - APROX. 182 ITENS - Peças, insumos e acessórios de componentes eletrônicos E OUTROS - VEJA DESCRITIVO DE ITENS")</f>
      </c>
      <c r="C494" s="4" t="inlineStr">
        <is>
          <t>Não vendido</t>
        </is>
      </c>
      <c r="D494" s="4" t="inlineStr">
        <is>
          <t>19</t>
        </is>
      </c>
      <c r="E494" s="5" t="inlineStr">
        <is>
          <t>3.200,00</t>
        </is>
      </c>
      <c r="F494" s="4" t="inlineStr">
        <is>
          <t>150.00</t>
        </is>
      </c>
    </row>
    <row collapsed="false" customFormat="false" customHeight="false" hidden="false" ht="12.1" outlineLevel="0" r="495">
      <c r="A495" s="5" t="s">
        <f>=HYPERLINK("https://www.leilaoonline.com.br/lote/detalhe/52792", "720")</f>
      </c>
      <c r="B495" s="4" t="s">
        <f>=HYPERLINK("https://www.leilaoonline.com.br/lote/detalhe/52792", "082-078-2020 - APROX. 158 ITENS - Peças e acessórios de veículo pesado  E OUTROS - VEJA DESCRITIVO DE ITENS")</f>
      </c>
      <c r="C495" s="4" t="inlineStr">
        <is>
          <t>Não vendido</t>
        </is>
      </c>
      <c r="D495" s="4" t="inlineStr">
        <is>
          <t>4</t>
        </is>
      </c>
      <c r="E495" s="5" t="inlineStr">
        <is>
          <t>950,00</t>
        </is>
      </c>
      <c r="F495" s="4" t="inlineStr">
        <is>
          <t>150.00</t>
        </is>
      </c>
    </row>
    <row collapsed="false" customFormat="false" customHeight="false" hidden="false" ht="12.1" outlineLevel="0" r="496">
      <c r="A496" s="5" t="s">
        <f>=HYPERLINK("https://www.leilaoonline.com.br/lote/detalhe/52794", "721")</f>
      </c>
      <c r="B496" s="4" t="s">
        <f>=HYPERLINK("https://www.leilaoonline.com.br/lote/detalhe/52794", "082-079-2020 - APROX. 2.516 ITENS - Peças e acessórios de vagão E OUTROS - VEJA DESCRITIVO DE ITENS")</f>
      </c>
      <c r="C496" s="4" t="inlineStr">
        <is>
          <t>Não vendido</t>
        </is>
      </c>
      <c r="D496" s="4" t="inlineStr">
        <is>
          <t>1</t>
        </is>
      </c>
      <c r="E496" s="5" t="inlineStr">
        <is>
          <t>500,00</t>
        </is>
      </c>
      <c r="F496" s="4" t="inlineStr">
        <is>
          <t>150.00</t>
        </is>
      </c>
    </row>
    <row collapsed="false" customFormat="false" customHeight="false" hidden="false" ht="12.1" outlineLevel="0" r="497">
      <c r="A497" s="5" t="s">
        <f>=HYPERLINK("https://www.leilaoonline.com.br/lote/detalhe/52797", "722")</f>
      </c>
      <c r="B497" s="4" t="s">
        <f>=HYPERLINK("https://www.leilaoonline.com.br/lote/detalhe/52797", "082-080-2020 - APROX. 329 ITENS - Fios, cabos e conexões elétricas  E OUTROS - VEJA DESCRITIVO DE ITENS")</f>
      </c>
      <c r="C497" s="4" t="inlineStr">
        <is>
          <t>Não vendido</t>
        </is>
      </c>
      <c r="D497" s="4" t="inlineStr">
        <is>
          <t>19</t>
        </is>
      </c>
      <c r="E497" s="5" t="inlineStr">
        <is>
          <t>3.200,00</t>
        </is>
      </c>
      <c r="F497" s="4" t="inlineStr">
        <is>
          <t>150.00</t>
        </is>
      </c>
    </row>
    <row collapsed="false" customFormat="false" customHeight="false" hidden="false" ht="12.1" outlineLevel="0" r="498">
      <c r="A498" s="5" t="s">
        <f>=HYPERLINK("https://www.leilaoonline.com.br/lote/detalhe/52800", "723")</f>
      </c>
      <c r="B498" s="4" t="s">
        <f>=HYPERLINK("https://www.leilaoonline.com.br/lote/detalhe/52800", "082-085-2020 - APROX. 73 ITENS - Peças e insumos e acessórios de componentes eletrônicos E OUTROS - VEJA DESCRITIVO DE ITENS")</f>
      </c>
      <c r="C498" s="4" t="inlineStr">
        <is>
          <t>Não vendido</t>
        </is>
      </c>
      <c r="D498" s="4" t="inlineStr">
        <is>
          <t>54</t>
        </is>
      </c>
      <c r="E498" s="5" t="inlineStr">
        <is>
          <t>10.150,00</t>
        </is>
      </c>
      <c r="F498" s="4" t="inlineStr">
        <is>
          <t>250.00</t>
        </is>
      </c>
    </row>
    <row collapsed="false" customFormat="false" customHeight="false" hidden="false" ht="12.1" outlineLevel="0" r="499">
      <c r="A499" s="5" t="s">
        <f>=HYPERLINK("https://www.leilaoonline.com.br/lote/detalhe/52802", "724")</f>
      </c>
      <c r="B499" s="4" t="s">
        <f>=HYPERLINK("https://www.leilaoonline.com.br/lote/detalhe/52802", "082-086-2020 - APROX. 103 ITENS - Equipamento e peças e acessórios de resfriamento E OUTROS - VEJA DESCRITIVO DE ITENS")</f>
      </c>
      <c r="C499" s="4" t="inlineStr">
        <is>
          <t>Não vendido</t>
        </is>
      </c>
      <c r="D499" s="4" t="inlineStr">
        <is>
          <t>22</t>
        </is>
      </c>
      <c r="E499" s="5" t="inlineStr">
        <is>
          <t>3.650,00</t>
        </is>
      </c>
      <c r="F499" s="4" t="inlineStr">
        <is>
          <t>150.00</t>
        </is>
      </c>
    </row>
    <row collapsed="false" customFormat="false" customHeight="false" hidden="false" ht="12.1" outlineLevel="0" r="500">
      <c r="A500" s="5" t="s">
        <f>=HYPERLINK("https://www.leilaoonline.com.br/lote/detalhe/52805", "725")</f>
      </c>
      <c r="B500" s="4" t="s">
        <f>=HYPERLINK("https://www.leilaoonline.com.br/lote/detalhe/52805", "ACA-007-2020 - APROX. ITENS - Fixadores diversos E OUTROS - VEJA DESCRITIVO DE ITENS")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500,00</t>
        </is>
      </c>
      <c r="F500" s="4" t="inlineStr">
        <is>
          <t>150.00</t>
        </is>
      </c>
    </row>
    <row collapsed="false" customFormat="false" customHeight="false" hidden="false" ht="12.1" outlineLevel="0" r="501">
      <c r="A501" s="5" t="s">
        <f>=HYPERLINK("https://www.leilaoonline.com.br/lote/detalhe/45379", "726")</f>
      </c>
      <c r="B501" s="4" t="s">
        <f>=HYPERLINK("https://www.leilaoonline.com.br/lote/detalhe/45379", "ITA-028-2020 - 20 ITENS - TELEFONE SEM e com FIO E MONITORES - veja descritivo de itens  - LOC. ITABIRA/MG")</f>
      </c>
      <c r="C501" s="4" t="inlineStr">
        <is>
          <t>Não vendido</t>
        </is>
      </c>
      <c r="D501" s="4" t="inlineStr">
        <is>
          <t>4</t>
        </is>
      </c>
      <c r="E501" s="5" t="inlineStr">
        <is>
          <t>500,00</t>
        </is>
      </c>
      <c r="F501" s="4" t="inlineStr">
        <is>
          <t>100.00</t>
        </is>
      </c>
    </row>
    <row collapsed="false" customFormat="false" customHeight="false" hidden="false" ht="12.1" outlineLevel="0" r="502">
      <c r="A502" s="5" t="s">
        <f>=HYPERLINK("https://www.leilaoonline.com.br/lote/detalhe/52840", "727")</f>
      </c>
      <c r="B502" s="4" t="s">
        <f>=HYPERLINK("https://www.leilaoonline.com.br/lote/detalhe/52840", "ACD-008-2020 - Lavadora de piso conduzida Gansow CT40 ANO: 2010")</f>
      </c>
      <c r="C502" s="4" t="inlineStr">
        <is>
          <t>Não vendido</t>
        </is>
      </c>
      <c r="D502" s="4" t="inlineStr">
        <is>
          <t>0</t>
        </is>
      </c>
      <c r="E502" s="5" t="inlineStr">
        <is>
          <t>1.000,00</t>
        </is>
      </c>
      <c r="F502" s="4" t="inlineStr">
        <is>
          <t>150.00</t>
        </is>
      </c>
    </row>
    <row collapsed="false" customFormat="false" customHeight="false" hidden="false" ht="12.1" outlineLevel="0" r="503">
      <c r="A503" s="5" t="s">
        <f>=HYPERLINK("https://www.leilaoonline.com.br/lote/detalhe/52841", "728")</f>
      </c>
      <c r="B503" s="4" t="s">
        <f>=HYPERLINK("https://www.leilaoonline.com.br/lote/detalhe/52841", "ACD-009-2020 - Lavadora de piso conduzida Gansow CT40 ANO: 2010")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1.000,00</t>
        </is>
      </c>
      <c r="F503" s="4" t="inlineStr">
        <is>
          <t>150.00</t>
        </is>
      </c>
    </row>
    <row collapsed="false" customFormat="false" customHeight="false" hidden="false" ht="12.1" outlineLevel="0" r="504">
      <c r="A504" s="5" t="s">
        <f>=HYPERLINK("https://www.leilaoonline.com.br/lote/detalhe/52842", "729")</f>
      </c>
      <c r="B504" s="4" t="s">
        <f>=HYPERLINK("https://www.leilaoonline.com.br/lote/detalhe/52842", "CD-123-2020 - APROX. 198 ITENS - Peças acessorios de veículos pesados E OUTROS - VEJA DESCRITIVO DE ITENS")</f>
      </c>
      <c r="C504" s="4" t="inlineStr">
        <is>
          <t>Vendido</t>
        </is>
      </c>
      <c r="D504" s="4" t="inlineStr">
        <is>
          <t>6</t>
        </is>
      </c>
      <c r="E504" s="5" t="inlineStr">
        <is>
          <t>1.600,00</t>
        </is>
      </c>
      <c r="F504" s="4" t="inlineStr">
        <is>
          <t>150.00</t>
        </is>
      </c>
    </row>
    <row collapsed="false" customFormat="false" customHeight="false" hidden="false" ht="12.1" outlineLevel="0" r="505">
      <c r="A505" s="5" t="s">
        <f>=HYPERLINK("https://www.leilaoonline.com.br/lote/detalhe/52843", "730")</f>
      </c>
      <c r="B505" s="4" t="s">
        <f>=HYPERLINK("https://www.leilaoonline.com.br/lote/detalhe/52843", "CD-140-2020 - Peças e acessorios peneira, Peças de Reposição E OUTROS - VEJA DESCRITIVO DE ITENS")</f>
      </c>
      <c r="C505" s="4" t="inlineStr">
        <is>
          <t>Não vendido</t>
        </is>
      </c>
      <c r="D505" s="4" t="inlineStr">
        <is>
          <t>3</t>
        </is>
      </c>
      <c r="E505" s="5" t="inlineStr">
        <is>
          <t>800,00</t>
        </is>
      </c>
      <c r="F505" s="4" t="inlineStr">
        <is>
          <t>150.00</t>
        </is>
      </c>
    </row>
    <row collapsed="false" customFormat="false" customHeight="false" hidden="false" ht="12.1" outlineLevel="0" r="506">
      <c r="A506" s="5" t="s">
        <f>=HYPERLINK("https://www.leilaoonline.com.br/lote/detalhe/45378", "731")</f>
      </c>
      <c r="B506" s="4" t="s">
        <f>=HYPERLINK("https://www.leilaoonline.com.br/lote/detalhe/45378", "ITA-020-2020 28 ITENS - Chapas, Duto de cabeamento e Outros - veja descritivo de itens - LOC. ITABIRA/MG")</f>
      </c>
      <c r="C506" s="4" t="inlineStr">
        <is>
          <t>Não vendido</t>
        </is>
      </c>
      <c r="D506" s="4" t="inlineStr">
        <is>
          <t>5</t>
        </is>
      </c>
      <c r="E506" s="5" t="inlineStr">
        <is>
          <t>700,00</t>
        </is>
      </c>
      <c r="F506" s="4" t="inlineStr">
        <is>
          <t>100.00</t>
        </is>
      </c>
    </row>
    <row collapsed="false" customFormat="false" customHeight="false" hidden="false" ht="12.1" outlineLevel="0" r="507">
      <c r="A507" s="5" t="s">
        <f>=HYPERLINK("https://www.leilaoonline.com.br/lote/detalhe/52847", "732")</f>
      </c>
      <c r="B507" s="4" t="s">
        <f>=HYPERLINK("https://www.leilaoonline.com.br/lote/detalhe/52847", "CD-142-2020 - 14 ITENS Conjunto parafuso E CHAPAS- VEJA DESCRITIVO DE ITENS")</f>
      </c>
      <c r="C507" s="4" t="inlineStr">
        <is>
          <t>Vendido</t>
        </is>
      </c>
      <c r="D507" s="4" t="inlineStr">
        <is>
          <t>1</t>
        </is>
      </c>
      <c r="E507" s="5" t="inlineStr">
        <is>
          <t>500,00</t>
        </is>
      </c>
      <c r="F507" s="4" t="inlineStr">
        <is>
          <t>150.00</t>
        </is>
      </c>
    </row>
    <row collapsed="false" customFormat="false" customHeight="false" hidden="false" ht="12.1" outlineLevel="0" r="508">
      <c r="A508" s="5" t="s">
        <f>=HYPERLINK("https://www.leilaoonline.com.br/lote/detalhe/52849", "733")</f>
      </c>
      <c r="B508" s="4" t="s">
        <f>=HYPERLINK("https://www.leilaoonline.com.br/lote/detalhe/52849", "CD-143-2020 - APROX. 194 ITENS - peças acessorios bomba, polias de transmissão E OUTROS - VEJA DESCRITIVO DE ITENS")</f>
      </c>
      <c r="C508" s="4" t="inlineStr">
        <is>
          <t>Não vendido</t>
        </is>
      </c>
      <c r="D508" s="4" t="inlineStr">
        <is>
          <t>2</t>
        </is>
      </c>
      <c r="E508" s="5" t="inlineStr">
        <is>
          <t>650,00</t>
        </is>
      </c>
      <c r="F508" s="4" t="inlineStr">
        <is>
          <t>150.00</t>
        </is>
      </c>
    </row>
    <row collapsed="false" customFormat="false" customHeight="false" hidden="false" ht="12.1" outlineLevel="0" r="509">
      <c r="A509" s="5" t="s">
        <f>=HYPERLINK("https://www.leilaoonline.com.br/lote/detalhe/52851", "734")</f>
      </c>
      <c r="B509" s="4" t="s">
        <f>=HYPERLINK("https://www.leilaoonline.com.br/lote/detalhe/52851", "CD-144-2020 - APROX. 116 ITENS - Conexões de tubos, Tubos e tubulações - VEJA DESCRITIVO DE ITENS")</f>
      </c>
      <c r="C509" s="4" t="inlineStr">
        <is>
          <t>Vendido</t>
        </is>
      </c>
      <c r="D509" s="4" t="inlineStr">
        <is>
          <t>144</t>
        </is>
      </c>
      <c r="E509" s="5" t="inlineStr">
        <is>
          <t>30.450,00</t>
        </is>
      </c>
      <c r="F509" s="4" t="inlineStr">
        <is>
          <t>250.00</t>
        </is>
      </c>
    </row>
    <row collapsed="false" customFormat="false" customHeight="false" hidden="false" ht="12.1" outlineLevel="0" r="510">
      <c r="A510" s="5" t="s">
        <f>=HYPERLINK("https://www.leilaoonline.com.br/lote/detalhe/52860", "735")</f>
      </c>
      <c r="B510" s="4" t="s">
        <f>=HYPERLINK("https://www.leilaoonline.com.br/lote/detalhe/52860", "CKS-MRO-011-2020 - APROX. 9.507 ITENS - Segurança e proteção pessoal, Peças e acessórios de flanges E OUTROS - VEJA DESCRITIVO DE ITENS")</f>
      </c>
      <c r="C510" s="4" t="inlineStr">
        <is>
          <t>Não vendido</t>
        </is>
      </c>
      <c r="D510" s="4" t="inlineStr">
        <is>
          <t>11</t>
        </is>
      </c>
      <c r="E510" s="5" t="inlineStr">
        <is>
          <t>2.000,00</t>
        </is>
      </c>
      <c r="F510" s="4" t="inlineStr">
        <is>
          <t>150.00</t>
        </is>
      </c>
    </row>
    <row collapsed="false" customFormat="false" customHeight="false" hidden="false" ht="12.1" outlineLevel="0" r="511">
      <c r="A511" s="5" t="s">
        <f>=HYPERLINK("https://www.leilaoonline.com.br/lote/detalhe/45377", "736")</f>
      </c>
      <c r="B511" s="4" t="s">
        <f>=HYPERLINK("https://www.leilaoonline.com.br/lote/detalhe/45377", "ITA-018-2020 - 27 ITENS - Revestimento do britador, Peças: peneiras e Outros - veja descritivo de itens - LOC. ITABIRA/MG")</f>
      </c>
      <c r="C511" s="4" t="inlineStr">
        <is>
          <t>Vendido</t>
        </is>
      </c>
      <c r="D511" s="4" t="inlineStr">
        <is>
          <t>1</t>
        </is>
      </c>
      <c r="E511" s="5" t="inlineStr">
        <is>
          <t>300,00</t>
        </is>
      </c>
      <c r="F511" s="4" t="inlineStr">
        <is>
          <t>150.00</t>
        </is>
      </c>
    </row>
    <row collapsed="false" customFormat="false" customHeight="false" hidden="false" ht="12.1" outlineLevel="0" r="512">
      <c r="A512" s="5" t="s">
        <f>=HYPERLINK("https://www.leilaoonline.com.br/lote/detalhe/52872", "737")</f>
      </c>
      <c r="B512" s="4" t="s">
        <f>=HYPERLINK("https://www.leilaoonline.com.br/lote/detalhe/52872", "CKS-MRO-015-2020 -17 ITENS - Peças e acessórios de veículo pesado, Transmissores de força mecânica E OUTROS - VEJA DESCRITIVO DE ITENS")</f>
      </c>
      <c r="C512" s="4" t="inlineStr">
        <is>
          <t>Vendido</t>
        </is>
      </c>
      <c r="D512" s="4" t="inlineStr">
        <is>
          <t>7</t>
        </is>
      </c>
      <c r="E512" s="5" t="inlineStr">
        <is>
          <t>1.400,00</t>
        </is>
      </c>
      <c r="F512" s="4" t="inlineStr">
        <is>
          <t>150.00</t>
        </is>
      </c>
    </row>
    <row collapsed="false" customFormat="false" customHeight="false" hidden="false" ht="12.1" outlineLevel="0" r="513">
      <c r="A513" s="5" t="s">
        <f>=HYPERLINK("https://www.leilaoonline.com.br/lote/detalhe/52886", "738")</f>
      </c>
      <c r="B513" s="4" t="s">
        <f>=HYPERLINK("https://www.leilaoonline.com.br/lote/detalhe/52886", "CKS-MRO-016-2020 - APROX. 1.453 ITENS - Transmissores de força mecânica, Unidades de engrenagem E OUTROS - VEJA DESCRITIVO DE ITENS")</f>
      </c>
      <c r="C513" s="4" t="inlineStr">
        <is>
          <t>Não vendido</t>
        </is>
      </c>
      <c r="D513" s="4" t="inlineStr">
        <is>
          <t>7</t>
        </is>
      </c>
      <c r="E513" s="5" t="inlineStr">
        <is>
          <t>1.400,00</t>
        </is>
      </c>
      <c r="F513" s="4" t="inlineStr">
        <is>
          <t>150.00</t>
        </is>
      </c>
    </row>
    <row collapsed="false" customFormat="false" customHeight="false" hidden="false" ht="12.1" outlineLevel="0" r="514">
      <c r="A514" s="5" t="s">
        <f>=HYPERLINK("https://www.leilaoonline.com.br/lote/detalhe/52887", "739")</f>
      </c>
      <c r="B514" s="4" t="s">
        <f>=HYPERLINK("https://www.leilaoonline.com.br/lote/detalhe/52887", "CKS-MRO-017-2020 - APROX. 2.681 ITENS - Equipamentos e instrumentos relacionados com transporte E OUTROS - VEJA DESCRITIVO DE ITENS")</f>
      </c>
      <c r="C514" s="4" t="inlineStr">
        <is>
          <t>Não vendido</t>
        </is>
      </c>
      <c r="D514" s="4" t="inlineStr">
        <is>
          <t>3</t>
        </is>
      </c>
      <c r="E514" s="5" t="inlineStr">
        <is>
          <t>800,00</t>
        </is>
      </c>
      <c r="F514" s="4" t="inlineStr">
        <is>
          <t>150.00</t>
        </is>
      </c>
    </row>
    <row collapsed="false" customFormat="false" customHeight="false" hidden="false" ht="12.1" outlineLevel="0" r="515">
      <c r="A515" s="5" t="s">
        <f>=HYPERLINK("https://www.leilaoonline.com.br/lote/detalhe/52890", "740")</f>
      </c>
      <c r="B515" s="4" t="s">
        <f>=HYPERLINK("https://www.leilaoonline.com.br/lote/detalhe/52890", "CKS-MRO-018-2020 - APROX. 463 ITENS - Transmissores de força mecânica, Unidades de engrenagem E OUTROS - VEJA DESCRITIVO DE ITENS")</f>
      </c>
      <c r="C515" s="4" t="inlineStr">
        <is>
          <t>Não vendido</t>
        </is>
      </c>
      <c r="D515" s="4" t="inlineStr">
        <is>
          <t>3</t>
        </is>
      </c>
      <c r="E515" s="5" t="inlineStr">
        <is>
          <t>800,00</t>
        </is>
      </c>
      <c r="F515" s="4" t="inlineStr">
        <is>
          <t>150.00</t>
        </is>
      </c>
    </row>
    <row collapsed="false" customFormat="false" customHeight="false" hidden="false" ht="12.1" outlineLevel="0" r="516">
      <c r="A516" s="5" t="s">
        <f>=HYPERLINK("https://www.leilaoonline.com.br/lote/detalhe/52891", "741")</f>
      </c>
      <c r="B516" s="4" t="s">
        <f>=HYPERLINK("https://www.leilaoonline.com.br/lote/detalhe/52891", "CKS-MRO-019-2020 - APROX. 461 ITENS - Segurança e Proteção Pessoal, SELOS MECANICOS E OUTROS - VEJA DESCRITIVO DE ITENS")</f>
      </c>
      <c r="C516" s="4" t="inlineStr">
        <is>
          <t>Vendido</t>
        </is>
      </c>
      <c r="D516" s="4" t="inlineStr">
        <is>
          <t>1</t>
        </is>
      </c>
      <c r="E516" s="5" t="inlineStr">
        <is>
          <t>500,00</t>
        </is>
      </c>
      <c r="F516" s="4" t="inlineStr">
        <is>
          <t>150.00</t>
        </is>
      </c>
    </row>
    <row collapsed="false" customFormat="false" customHeight="false" hidden="false" ht="12.1" outlineLevel="0" r="517">
      <c r="A517" s="5" t="s">
        <f>=HYPERLINK("https://www.leilaoonline.com.br/lote/detalhe/52893", "742")</f>
      </c>
      <c r="B517" s="4" t="s">
        <f>=HYPERLINK("https://www.leilaoonline.com.br/lote/detalhe/52893", "CKS-MRO-020-2020 - APROX. 1.334 ITENS - Rolos de Carga - VEJA DESCRITIVO DE ITENS")</f>
      </c>
      <c r="C517" s="4" t="inlineStr">
        <is>
          <t>Não vendido</t>
        </is>
      </c>
      <c r="D517" s="4" t="inlineStr">
        <is>
          <t>20</t>
        </is>
      </c>
      <c r="E517" s="5" t="inlineStr">
        <is>
          <t>3.650,00</t>
        </is>
      </c>
      <c r="F517" s="4" t="inlineStr">
        <is>
          <t>250.00</t>
        </is>
      </c>
    </row>
    <row collapsed="false" customFormat="false" customHeight="false" hidden="false" ht="12.1" outlineLevel="0" r="518">
      <c r="A518" s="5" t="s">
        <f>=HYPERLINK("https://www.leilaoonline.com.br/lote/detalhe/52895", "743")</f>
      </c>
      <c r="B518" s="4" t="s">
        <f>=HYPERLINK("https://www.leilaoonline.com.br/lote/detalhe/52895", "CKS-MRO-021-2020 - APROX. 553 ITENS - Peças e acessórios de veículo pesado E OUTROS - VEJA DESCRITIVO DE ITENS")</f>
      </c>
      <c r="C518" s="4" t="inlineStr">
        <is>
          <t>Não vendido</t>
        </is>
      </c>
      <c r="D518" s="4" t="inlineStr">
        <is>
          <t>0</t>
        </is>
      </c>
      <c r="E518" s="5" t="inlineStr">
        <is>
          <t>500,00</t>
        </is>
      </c>
      <c r="F518" s="4" t="inlineStr">
        <is>
          <t>150.00</t>
        </is>
      </c>
    </row>
    <row collapsed="false" customFormat="false" customHeight="false" hidden="false" ht="12.1" outlineLevel="0" r="519">
      <c r="A519" s="5" t="s">
        <f>=HYPERLINK("https://www.leilaoonline.com.br/lote/detalhe/52897", "744")</f>
      </c>
      <c r="B519" s="4" t="s">
        <f>=HYPERLINK("https://www.leilaoonline.com.br/lote/detalhe/52897", "CKS-MRO-022-2020 - 43 ITENS - Unidades de engrenagem, Peças e acessórios de veículo pesado E OUTROS - VEJA DESCRITIVO DE ITENS")</f>
      </c>
      <c r="C519" s="4" t="inlineStr">
        <is>
          <t>Vendido</t>
        </is>
      </c>
      <c r="D519" s="4" t="inlineStr">
        <is>
          <t>17</t>
        </is>
      </c>
      <c r="E519" s="5" t="inlineStr">
        <is>
          <t>2.900,00</t>
        </is>
      </c>
      <c r="F519" s="4" t="inlineStr">
        <is>
          <t>150.00</t>
        </is>
      </c>
    </row>
    <row collapsed="false" customFormat="false" customHeight="false" hidden="false" ht="12.1" outlineLevel="0" r="520">
      <c r="A520" s="5" t="s">
        <f>=HYPERLINK("https://www.leilaoonline.com.br/lote/detalhe/52898", "745")</f>
      </c>
      <c r="B520" s="4" t="s">
        <f>=HYPERLINK("https://www.leilaoonline.com.br/lote/detalhe/52898", "CPBS-004-2020 - 45 ITENS - Peças e acessórios de transportador de correia, Fixadores diversos E OUTROS - VEJA DESCRITIVO DE ITENS")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500,00</t>
        </is>
      </c>
      <c r="F520" s="4" t="inlineStr">
        <is>
          <t>150.00</t>
        </is>
      </c>
    </row>
    <row collapsed="false" customFormat="false" customHeight="false" hidden="false" ht="12.1" outlineLevel="0" r="521">
      <c r="A521" s="5" t="s">
        <f>=HYPERLINK("https://www.leilaoonline.com.br/lote/detalhe/52905", "746")</f>
      </c>
      <c r="B521" s="4" t="s">
        <f>=HYPERLINK("https://www.leilaoonline.com.br/lote/detalhe/52905", "CPBS-005-2020 - APROX. 445 ITENS - Peças e acessórios de transportador de correia E OUTROS - VEJA DESCRITIVO DE ITENS")</f>
      </c>
      <c r="C521" s="4" t="inlineStr">
        <is>
          <t>Não vendido</t>
        </is>
      </c>
      <c r="D521" s="4" t="inlineStr">
        <is>
          <t>1</t>
        </is>
      </c>
      <c r="E521" s="5" t="inlineStr">
        <is>
          <t>500,00</t>
        </is>
      </c>
      <c r="F521" s="4" t="inlineStr">
        <is>
          <t>150.00</t>
        </is>
      </c>
    </row>
    <row collapsed="false" customFormat="false" customHeight="false" hidden="false" ht="12.1" outlineLevel="0" r="522">
      <c r="A522" s="5" t="s">
        <f>=HYPERLINK("https://www.leilaoonline.com.br/lote/detalhe/52906", "747")</f>
      </c>
      <c r="B522" s="4" t="s">
        <f>=HYPERLINK("https://www.leilaoonline.com.br/lote/detalhe/52906", "CPBS-006-2020 - 3 ITENS Material elétrico - VEJA DESCRITIVO DE ITENS")</f>
      </c>
      <c r="C522" s="4" t="inlineStr">
        <is>
          <t>Não vendido</t>
        </is>
      </c>
      <c r="D522" s="4" t="inlineStr">
        <is>
          <t>0</t>
        </is>
      </c>
      <c r="E522" s="5" t="inlineStr">
        <is>
          <t>500,00</t>
        </is>
      </c>
      <c r="F522" s="4" t="inlineStr">
        <is>
          <t>150.00</t>
        </is>
      </c>
    </row>
    <row collapsed="false" customFormat="false" customHeight="false" hidden="false" ht="12.1" outlineLevel="0" r="523">
      <c r="A523" s="5" t="s">
        <f>=HYPERLINK("https://www.leilaoonline.com.br/lote/detalhe/52907", "748")</f>
      </c>
      <c r="B523" s="4" t="s">
        <f>=HYPERLINK("https://www.leilaoonline.com.br/lote/detalhe/52907", "CPBS-008-2020 - APROX. 106 ITENS - Peças e acessórios de transportador de correia E OUTROS - VEJA DESCRITIVO DE ITENS")</f>
      </c>
      <c r="C523" s="4" t="inlineStr">
        <is>
          <t>Não vendido</t>
        </is>
      </c>
      <c r="D523" s="4" t="inlineStr">
        <is>
          <t>0</t>
        </is>
      </c>
      <c r="E523" s="5" t="inlineStr">
        <is>
          <t>500,00</t>
        </is>
      </c>
      <c r="F523" s="4" t="inlineStr">
        <is>
          <t>150.00</t>
        </is>
      </c>
    </row>
    <row collapsed="false" customFormat="false" customHeight="false" hidden="false" ht="12.1" outlineLevel="0" r="524">
      <c r="A524" s="5" t="s">
        <f>=HYPERLINK("https://www.leilaoonline.com.br/lote/detalhe/45376", "749")</f>
      </c>
      <c r="B524" s="4" t="s">
        <f>=HYPERLINK("https://www.leilaoonline.com.br/lote/detalhe/45376", "ITA-016-2020 - APROX. 257 ITENS Peças:de veículo pesado, Fixadores diversos e Outros - veja descritivo de itens - LOC. ITABIRA/MG")</f>
      </c>
      <c r="C524" s="4" t="inlineStr">
        <is>
          <t>Não vendido</t>
        </is>
      </c>
      <c r="D524" s="4" t="inlineStr">
        <is>
          <t>11</t>
        </is>
      </c>
      <c r="E524" s="5" t="inlineStr">
        <is>
          <t>1.300,00</t>
        </is>
      </c>
      <c r="F524" s="4" t="inlineStr">
        <is>
          <t>100.00</t>
        </is>
      </c>
    </row>
    <row collapsed="false" customFormat="false" customHeight="false" hidden="false" ht="12.1" outlineLevel="0" r="525">
      <c r="A525" s="5" t="s">
        <f>=HYPERLINK("https://www.leilaoonline.com.br/lote/detalhe/52909", "750")</f>
      </c>
      <c r="B525" s="4" t="s">
        <f>=HYPERLINK("https://www.leilaoonline.com.br/lote/detalhe/52909", "FAB-046-2020 - APROX. 160 ITENS - CORRENTE ROLOS TRANSMISSÃO E OUTROS - VEJA DESCRITIVO DE ITENS")</f>
      </c>
      <c r="C525" s="4" t="inlineStr">
        <is>
          <t>Não vendido</t>
        </is>
      </c>
      <c r="D525" s="4" t="inlineStr">
        <is>
          <t>4</t>
        </is>
      </c>
      <c r="E525" s="5" t="inlineStr">
        <is>
          <t>950,00</t>
        </is>
      </c>
      <c r="F525" s="4" t="inlineStr">
        <is>
          <t>150.00</t>
        </is>
      </c>
    </row>
    <row collapsed="false" customFormat="false" customHeight="false" hidden="false" ht="12.1" outlineLevel="0" r="526">
      <c r="A526" s="5" t="s">
        <f>=HYPERLINK("https://www.leilaoonline.com.br/lote/detalhe/52910", "751")</f>
      </c>
      <c r="B526" s="4" t="s">
        <f>=HYPERLINK("https://www.leilaoonline.com.br/lote/detalhe/52910", "FAB-047-2020 - APROX. 3.684 ITENS - POLIA COMPONENTE E OUTROS - VEJA DESCRITIVO DE ITENS")</f>
      </c>
      <c r="C526" s="4" t="inlineStr">
        <is>
          <t>Não vendido</t>
        </is>
      </c>
      <c r="D526" s="4" t="inlineStr">
        <is>
          <t>11</t>
        </is>
      </c>
      <c r="E526" s="5" t="inlineStr">
        <is>
          <t>2.000,00</t>
        </is>
      </c>
      <c r="F526" s="4" t="inlineStr">
        <is>
          <t>150.00</t>
        </is>
      </c>
    </row>
    <row collapsed="false" customFormat="false" customHeight="false" hidden="false" ht="12.1" outlineLevel="0" r="527">
      <c r="A527" s="5" t="s">
        <f>=HYPERLINK("https://www.leilaoonline.com.br/lote/detalhe/52912", "753")</f>
      </c>
      <c r="B527" s="4" t="s">
        <f>=HYPERLINK("https://www.leilaoonline.com.br/lote/detalhe/52912", "FAB-049-2020 - 9 ITENS - ROTOR COMPONENTE E OUTROS - VEJA DESCRITIVO DE ITENS")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500,00</t>
        </is>
      </c>
      <c r="F527" s="4" t="inlineStr">
        <is>
          <t>150.00</t>
        </is>
      </c>
    </row>
    <row collapsed="false" customFormat="false" customHeight="false" hidden="false" ht="12.1" outlineLevel="0" r="528">
      <c r="A528" s="5" t="s">
        <f>=HYPERLINK("https://www.leilaoonline.com.br/lote/detalhe/52914", "755")</f>
      </c>
      <c r="B528" s="4" t="s">
        <f>=HYPERLINK("https://www.leilaoonline.com.br/lote/detalhe/52914", "FAB-051-2020 - 14 ITENS - POLIA COMPONENTE E OUTROS - VEJA DESCRITIVO DE ITENS")</f>
      </c>
      <c r="C528" s="4" t="inlineStr">
        <is>
          <t>Não vendido</t>
        </is>
      </c>
      <c r="D528" s="4" t="inlineStr">
        <is>
          <t>3</t>
        </is>
      </c>
      <c r="E528" s="5" t="inlineStr">
        <is>
          <t>800,00</t>
        </is>
      </c>
      <c r="F528" s="4" t="inlineStr">
        <is>
          <t>150.00</t>
        </is>
      </c>
    </row>
    <row collapsed="false" customFormat="false" customHeight="false" hidden="false" ht="12.1" outlineLevel="0" r="529">
      <c r="A529" s="5" t="s">
        <f>=HYPERLINK("https://www.leilaoonline.com.br/lote/detalhe/52917", "756")</f>
      </c>
      <c r="B529" s="4" t="s">
        <f>=HYPERLINK("https://www.leilaoonline.com.br/lote/detalhe/52917", "FAB-52-2020 - APROX. 273 ITENS - Acessórios de solda e soldagem e brasagem E OUTROS - VEJA DESCRITIVO DE ITENS")</f>
      </c>
      <c r="C529" s="4" t="inlineStr">
        <is>
          <t>Vendido</t>
        </is>
      </c>
      <c r="D529" s="4" t="inlineStr">
        <is>
          <t>3</t>
        </is>
      </c>
      <c r="E529" s="5" t="inlineStr">
        <is>
          <t>820,00</t>
        </is>
      </c>
      <c r="F529" s="4" t="inlineStr">
        <is>
          <t>150.00</t>
        </is>
      </c>
    </row>
    <row collapsed="false" customFormat="false" customHeight="false" hidden="false" ht="12.1" outlineLevel="0" r="530">
      <c r="A530" s="5" t="s">
        <f>=HYPERLINK("https://www.leilaoonline.com.br/lote/detalhe/52919", "757")</f>
      </c>
      <c r="B530" s="4" t="s">
        <f>=HYPERLINK("https://www.leilaoonline.com.br/lote/detalhe/52919", "FAB-53-2020 - APROX. 1.711 ITENS - Equipamento, peças e acessórios de resfriamento E OUTROS - VEJA DESCRITIVO DE ITENS")</f>
      </c>
      <c r="C530" s="4" t="inlineStr">
        <is>
          <t>Vendido</t>
        </is>
      </c>
      <c r="D530" s="4" t="inlineStr">
        <is>
          <t>3</t>
        </is>
      </c>
      <c r="E530" s="5" t="inlineStr">
        <is>
          <t>800,00</t>
        </is>
      </c>
      <c r="F530" s="4" t="inlineStr">
        <is>
          <t>150.00</t>
        </is>
      </c>
    </row>
    <row collapsed="false" customFormat="false" customHeight="false" hidden="false" ht="12.1" outlineLevel="0" r="531">
      <c r="A531" s="5" t="s">
        <f>=HYPERLINK("https://www.leilaoonline.com.br/lote/detalhe/52920", "758")</f>
      </c>
      <c r="B531" s="4" t="s">
        <f>=HYPERLINK("https://www.leilaoonline.com.br/lote/detalhe/52920", "FAB-54-2020 - APROX. 853 ITENS - Material elétrico, Fixadores diversos E OUTROS - VEJA DESCRITIVO DE ITENS")</f>
      </c>
      <c r="C531" s="4" t="inlineStr">
        <is>
          <t>Não vendido</t>
        </is>
      </c>
      <c r="D531" s="4" t="inlineStr">
        <is>
          <t>1</t>
        </is>
      </c>
      <c r="E531" s="5" t="inlineStr">
        <is>
          <t>500,00</t>
        </is>
      </c>
      <c r="F531" s="4" t="inlineStr">
        <is>
          <t>150.00</t>
        </is>
      </c>
    </row>
    <row collapsed="false" customFormat="false" customHeight="false" hidden="false" ht="12.1" outlineLevel="0" r="532">
      <c r="A532" s="5" t="s">
        <f>=HYPERLINK("https://www.leilaoonline.com.br/lote/detalhe/53081", "759")</f>
      </c>
      <c r="B532" s="4" t="s">
        <f>=HYPERLINK("https://www.leilaoonline.com.br/lote/detalhe/53081", "FAB-55-2020 - APROX. 617 ITENS -Máquinas para escritório e seus suprimentos e acessórios E OUTROS - VEJA DESCRITIVO DE ITENS")</f>
      </c>
      <c r="C532" s="4" t="inlineStr">
        <is>
          <t>Não vendido</t>
        </is>
      </c>
      <c r="D532" s="4" t="inlineStr">
        <is>
          <t>0</t>
        </is>
      </c>
      <c r="E532" s="5" t="inlineStr">
        <is>
          <t>500,00</t>
        </is>
      </c>
      <c r="F532" s="4" t="inlineStr">
        <is>
          <t>150.00</t>
        </is>
      </c>
    </row>
    <row collapsed="false" customFormat="false" customHeight="false" hidden="false" ht="12.1" outlineLevel="0" r="533">
      <c r="A533" s="5" t="s">
        <f>=HYPERLINK("https://www.leilaoonline.com.br/lote/detalhe/53083", "760")</f>
      </c>
      <c r="B533" s="4" t="s">
        <f>=HYPERLINK("https://www.leilaoonline.com.br/lote/detalhe/53083", "FAB-56-2020 - APROX. 360 itens - Fios e cabos e conexões elétricas, Transmissores de força mecânica E OUTROS - VEJA DESCRITIVO DE ITENS")</f>
      </c>
      <c r="C533" s="4" t="inlineStr">
        <is>
          <t>Vendido</t>
        </is>
      </c>
      <c r="D533" s="4" t="inlineStr">
        <is>
          <t>1</t>
        </is>
      </c>
      <c r="E533" s="5" t="inlineStr">
        <is>
          <t>500,00</t>
        </is>
      </c>
      <c r="F533" s="4" t="inlineStr">
        <is>
          <t>150.00</t>
        </is>
      </c>
    </row>
    <row collapsed="false" customFormat="false" customHeight="false" hidden="false" ht="12.1" outlineLevel="0" r="534">
      <c r="A534" s="5" t="s">
        <f>=HYPERLINK("https://www.leilaoonline.com.br/lote/detalhe/53085", "761")</f>
      </c>
      <c r="B534" s="4" t="s">
        <f>=HYPERLINK("https://www.leilaoonline.com.br/lote/detalhe/53085", "FAB-57-2020 - APROX. 991 ITENS - Transmissores de força mecânica, Tubos e tubulações E OUTROS - VEJA DESCRITIVO DE ITENS")</f>
      </c>
      <c r="C534" s="4" t="inlineStr">
        <is>
          <t>Não vendido</t>
        </is>
      </c>
      <c r="D534" s="4" t="inlineStr">
        <is>
          <t>0</t>
        </is>
      </c>
      <c r="E534" s="5" t="inlineStr">
        <is>
          <t>500,00</t>
        </is>
      </c>
      <c r="F534" s="4" t="inlineStr">
        <is>
          <t>150.00</t>
        </is>
      </c>
    </row>
    <row collapsed="false" customFormat="false" customHeight="false" hidden="false" ht="12.1" outlineLevel="0" r="535">
      <c r="A535" s="5" t="s">
        <f>=HYPERLINK("https://www.leilaoonline.com.br/lote/detalhe/53138", "762")</f>
      </c>
      <c r="B535" s="4" t="s">
        <f>=HYPERLINK("https://www.leilaoonline.com.br/lote/detalhe/53138", "FAB-58-2020 - APROX. 1.298 - Usinado de metal forjado em calor, Filtros E OUTROS - VEJA DESCRITIVO DE ITENS")</f>
      </c>
      <c r="C535" s="4" t="inlineStr">
        <is>
          <t>Vendido</t>
        </is>
      </c>
      <c r="D535" s="4" t="inlineStr">
        <is>
          <t>2</t>
        </is>
      </c>
      <c r="E535" s="5" t="inlineStr">
        <is>
          <t>650,00</t>
        </is>
      </c>
      <c r="F535" s="4" t="inlineStr">
        <is>
          <t>150.00</t>
        </is>
      </c>
    </row>
    <row collapsed="false" customFormat="false" customHeight="false" hidden="false" ht="12.1" outlineLevel="0" r="536">
      <c r="A536" s="5" t="s">
        <f>=HYPERLINK("https://www.leilaoonline.com.br/lote/detalhe/53140", "763")</f>
      </c>
      <c r="B536" s="4" t="s">
        <f>=HYPERLINK("https://www.leilaoonline.com.br/lote/detalhe/53140", "FAB-59-2020 - APROX. 1787 ITENS - Material elétrico, Juntas e vedações E OUTROS - VEJA DESCRITIVO DE ITENS")</f>
      </c>
      <c r="C536" s="4" t="inlineStr">
        <is>
          <t>Não vendido</t>
        </is>
      </c>
      <c r="D536" s="4" t="inlineStr">
        <is>
          <t>0</t>
        </is>
      </c>
      <c r="E536" s="5" t="inlineStr">
        <is>
          <t>500,00</t>
        </is>
      </c>
      <c r="F536" s="4" t="inlineStr">
        <is>
          <t>150.00</t>
        </is>
      </c>
    </row>
    <row collapsed="false" customFormat="false" customHeight="false" hidden="false" ht="12.1" outlineLevel="0" r="537">
      <c r="A537" s="5" t="s">
        <f>=HYPERLINK("https://www.leilaoonline.com.br/lote/detalhe/53141", "764")</f>
      </c>
      <c r="B537" s="4" t="s">
        <f>=HYPERLINK("https://www.leilaoonline.com.br/lote/detalhe/53141", "FAB-60-2020 - APROX.  589 ITENS - PeçaS, insumos e acessórios de componentes eletrônicos E OUTROS - VEJA DESCRITIVO DE ITENS")</f>
      </c>
      <c r="C537" s="4" t="inlineStr">
        <is>
          <t>Vendido</t>
        </is>
      </c>
      <c r="D537" s="4" t="inlineStr">
        <is>
          <t>14</t>
        </is>
      </c>
      <c r="E537" s="5" t="inlineStr">
        <is>
          <t>2.450,00</t>
        </is>
      </c>
      <c r="F537" s="4" t="inlineStr">
        <is>
          <t>150.00</t>
        </is>
      </c>
    </row>
    <row collapsed="false" customFormat="false" customHeight="false" hidden="false" ht="12.1" outlineLevel="0" r="538">
      <c r="A538" s="5" t="s">
        <f>=HYPERLINK("https://www.leilaoonline.com.br/lote/detalhe/53167", "765")</f>
      </c>
      <c r="B538" s="4" t="s">
        <f>=HYPERLINK("https://www.leilaoonline.com.br/lote/detalhe/53167", "FAB-61-2020 - APROX. 1.511 ITENS - Conjunto de parafusos, Unidades de engrenagem E OUTROS - VEJA DESCRITIVO DE ITENS")</f>
      </c>
      <c r="C538" s="4" t="inlineStr">
        <is>
          <t>Vendido</t>
        </is>
      </c>
      <c r="D538" s="4" t="inlineStr">
        <is>
          <t>2</t>
        </is>
      </c>
      <c r="E538" s="5" t="inlineStr">
        <is>
          <t>650,00</t>
        </is>
      </c>
      <c r="F538" s="4" t="inlineStr">
        <is>
          <t>150.00</t>
        </is>
      </c>
    </row>
    <row collapsed="false" customFormat="false" customHeight="false" hidden="false" ht="12.1" outlineLevel="0" r="539">
      <c r="A539" s="5" t="s">
        <f>=HYPERLINK("https://www.leilaoonline.com.br/lote/detalhe/53169", "766")</f>
      </c>
      <c r="B539" s="4" t="s">
        <f>=HYPERLINK("https://www.leilaoonline.com.br/lote/detalhe/53169", "FAB-62-2020 - APROX. 406 ITENS - Polias de transmissão, Fixadores diversos E OUTROS - VEJA DESCRITIVO DE ITENS")</f>
      </c>
      <c r="C539" s="4" t="inlineStr">
        <is>
          <t>Não vendido</t>
        </is>
      </c>
      <c r="D539" s="4" t="inlineStr">
        <is>
          <t>1</t>
        </is>
      </c>
      <c r="E539" s="5" t="inlineStr">
        <is>
          <t>500,00</t>
        </is>
      </c>
      <c r="F539" s="4" t="inlineStr">
        <is>
          <t>150.00</t>
        </is>
      </c>
    </row>
    <row collapsed="false" customFormat="false" customHeight="false" hidden="false" ht="12.1" outlineLevel="0" r="540">
      <c r="A540" s="5" t="s">
        <f>=HYPERLINK("https://www.leilaoonline.com.br/lote/detalhe/45373", "767")</f>
      </c>
      <c r="B540" s="4" t="s">
        <f>=HYPERLINK("https://www.leilaoonline.com.br/lote/detalhe/45373", "ITA-011-2020 - 6 ITENS Mangueiras, Juntas e vedações - veja descritivo de itens  - LOC. ITABIRA/MG")</f>
      </c>
      <c r="C540" s="4" t="inlineStr">
        <is>
          <t>Não vendido</t>
        </is>
      </c>
      <c r="D540" s="4" t="inlineStr">
        <is>
          <t>0</t>
        </is>
      </c>
      <c r="E540" s="5" t="inlineStr">
        <is>
          <t>300,00</t>
        </is>
      </c>
      <c r="F540" s="4" t="inlineStr">
        <is>
          <t>100.00</t>
        </is>
      </c>
    </row>
    <row collapsed="false" customFormat="false" customHeight="false" hidden="false" ht="12.1" outlineLevel="0" r="541">
      <c r="A541" s="5" t="s">
        <f>=HYPERLINK("https://www.leilaoonline.com.br/lote/detalhe/53174", "768")</f>
      </c>
      <c r="B541" s="4" t="s">
        <f>=HYPERLINK("https://www.leilaoonline.com.br/lote/detalhe/53174", "FAB-64-2020 - APROX. 655 ITENS - Peças e acessórios de bombas E OUTROS - VEJA DESCRITIVO DE ITENS")</f>
      </c>
      <c r="C541" s="4" t="inlineStr">
        <is>
          <t>Vendido</t>
        </is>
      </c>
      <c r="D541" s="4" t="inlineStr">
        <is>
          <t>2</t>
        </is>
      </c>
      <c r="E541" s="5" t="inlineStr">
        <is>
          <t>850,00</t>
        </is>
      </c>
      <c r="F541" s="4" t="inlineStr">
        <is>
          <t>150.00</t>
        </is>
      </c>
    </row>
    <row collapsed="false" customFormat="false" customHeight="false" hidden="false" ht="12.1" outlineLevel="0" r="542">
      <c r="A542" s="5" t="s">
        <f>=HYPERLINK("https://www.leilaoonline.com.br/lote/detalhe/53175", "769")</f>
      </c>
      <c r="B542" s="4" t="s">
        <f>=HYPERLINK("https://www.leilaoonline.com.br/lote/detalhe/53175", "GOV-061-2020 - APROX. 577 ITENS - Peças e acessórios de veículo pesado E OUTROS - VEJA DESCRITIVO DE ITENS")</f>
      </c>
      <c r="C542" s="4" t="inlineStr">
        <is>
          <t>Vendido</t>
        </is>
      </c>
      <c r="D542" s="4" t="inlineStr">
        <is>
          <t>19</t>
        </is>
      </c>
      <c r="E542" s="5" t="inlineStr">
        <is>
          <t>3.200,00</t>
        </is>
      </c>
      <c r="F542" s="4" t="inlineStr">
        <is>
          <t>150.00</t>
        </is>
      </c>
    </row>
    <row collapsed="false" customFormat="false" customHeight="false" hidden="false" ht="12.1" outlineLevel="0" r="543">
      <c r="A543" s="5" t="s">
        <f>=HYPERLINK("https://www.leilaoonline.com.br/lote/detalhe/53177", "770")</f>
      </c>
      <c r="B543" s="4" t="s">
        <f>=HYPERLINK("https://www.leilaoonline.com.br/lote/detalhe/53177", "GOV-062-2020 - APROX. 1.436 ITENS - Peças e acessórios de equipamento de suporte ferroviário E OUTROS - VEJA DESCRITIVO DE ITENS")</f>
      </c>
      <c r="C543" s="4" t="inlineStr">
        <is>
          <t>Vendido</t>
        </is>
      </c>
      <c r="D543" s="4" t="inlineStr">
        <is>
          <t>2</t>
        </is>
      </c>
      <c r="E543" s="5" t="inlineStr">
        <is>
          <t>650,00</t>
        </is>
      </c>
      <c r="F543" s="4" t="inlineStr">
        <is>
          <t>150.00</t>
        </is>
      </c>
    </row>
    <row collapsed="false" customFormat="false" customHeight="false" hidden="false" ht="12.1" outlineLevel="0" r="544">
      <c r="A544" s="5" t="s">
        <f>=HYPERLINK("https://www.leilaoonline.com.br/lote/detalhe/53178", "771")</f>
      </c>
      <c r="B544" s="4" t="s">
        <f>=HYPERLINK("https://www.leilaoonline.com.br/lote/detalhe/53178", "GOV-063-2020 - APROX. 867 ITENS - Unidades de engrenagem E OUTROS - VEJA DESCRITIVO DE ITENS")</f>
      </c>
      <c r="C544" s="4" t="inlineStr">
        <is>
          <t>Vendido</t>
        </is>
      </c>
      <c r="D544" s="4" t="inlineStr">
        <is>
          <t>3</t>
        </is>
      </c>
      <c r="E544" s="5" t="inlineStr">
        <is>
          <t>800,00</t>
        </is>
      </c>
      <c r="F544" s="4" t="inlineStr">
        <is>
          <t>150.00</t>
        </is>
      </c>
    </row>
    <row collapsed="false" customFormat="false" customHeight="false" hidden="false" ht="12.1" outlineLevel="0" r="545">
      <c r="A545" s="5" t="s">
        <f>=HYPERLINK("https://www.leilaoonline.com.br/lote/detalhe/53179", "772")</f>
      </c>
      <c r="B545" s="4" t="s">
        <f>=HYPERLINK("https://www.leilaoonline.com.br/lote/detalhe/53179", "GOV-064-2020 - APROX. 1.210 ITENS - Transmissores de força mecânica E OUTROS - VEJA DESCRITIVO DE ITENS")</f>
      </c>
      <c r="C545" s="4" t="inlineStr">
        <is>
          <t>Vendido</t>
        </is>
      </c>
      <c r="D545" s="4" t="inlineStr">
        <is>
          <t>27</t>
        </is>
      </c>
      <c r="E545" s="5" t="inlineStr">
        <is>
          <t>4.400,00</t>
        </is>
      </c>
      <c r="F545" s="4" t="inlineStr">
        <is>
          <t>150.00</t>
        </is>
      </c>
    </row>
    <row collapsed="false" customFormat="false" customHeight="false" hidden="false" ht="12.1" outlineLevel="0" r="546">
      <c r="A546" s="5" t="s">
        <f>=HYPERLINK("https://www.leilaoonline.com.br/lote/detalhe/53182", "773")</f>
      </c>
      <c r="B546" s="4" t="s">
        <f>=HYPERLINK("https://www.leilaoonline.com.br/lote/detalhe/53182", "GOV-065-2020 - 6 ITENS - Peças e acessórios de equipamento de suporte ferroviário E OUTROS - VEJA DESCRITIVO DE ITENS")</f>
      </c>
      <c r="C546" s="4" t="inlineStr">
        <is>
          <t>Vendido</t>
        </is>
      </c>
      <c r="D546" s="4" t="inlineStr">
        <is>
          <t>15</t>
        </is>
      </c>
      <c r="E546" s="5" t="inlineStr">
        <is>
          <t>2.600,00</t>
        </is>
      </c>
      <c r="F546" s="4" t="inlineStr">
        <is>
          <t>150.00</t>
        </is>
      </c>
    </row>
    <row collapsed="false" customFormat="false" customHeight="false" hidden="false" ht="12.1" outlineLevel="0" r="547">
      <c r="A547" s="5" t="s">
        <f>=HYPERLINK("https://www.leilaoonline.com.br/lote/detalhe/53184", "774")</f>
      </c>
      <c r="B547" s="4" t="s">
        <f>=HYPERLINK("https://www.leilaoonline.com.br/lote/detalhe/53184", "GOV-066-2020 - APROX. 733 ITENS - Peças e acessórios de equipamento de suporte ferroviário E OUTROS - VEJA DESCRITIVO DE ITENS")</f>
      </c>
      <c r="C547" s="4" t="inlineStr">
        <is>
          <t>Vendido</t>
        </is>
      </c>
      <c r="D547" s="4" t="inlineStr">
        <is>
          <t>28</t>
        </is>
      </c>
      <c r="E547" s="5" t="inlineStr">
        <is>
          <t>4.650,00</t>
        </is>
      </c>
      <c r="F547" s="4" t="inlineStr">
        <is>
          <t>250.00</t>
        </is>
      </c>
    </row>
    <row collapsed="false" customFormat="false" customHeight="false" hidden="false" ht="12.1" outlineLevel="0" r="548">
      <c r="A548" s="5" t="s">
        <f>=HYPERLINK("https://www.leilaoonline.com.br/lote/detalhe/53186", "775")</f>
      </c>
      <c r="B548" s="4" t="s">
        <f>=HYPERLINK("https://www.leilaoonline.com.br/lote/detalhe/53186", "GOV-067-2020 - APROX. 1.980 ITENS - Peças e acessórios de equipamento de suporte ferroviário E OUTROS - VEJA DESCRITIVO DE ITENS")</f>
      </c>
      <c r="C548" s="4" t="inlineStr">
        <is>
          <t>Não vendido</t>
        </is>
      </c>
      <c r="D548" s="4" t="inlineStr">
        <is>
          <t>1</t>
        </is>
      </c>
      <c r="E548" s="5" t="inlineStr">
        <is>
          <t>500,00</t>
        </is>
      </c>
      <c r="F548" s="4" t="inlineStr">
        <is>
          <t>150.00</t>
        </is>
      </c>
    </row>
    <row collapsed="false" customFormat="false" customHeight="false" hidden="false" ht="12.1" outlineLevel="0" r="549">
      <c r="A549" s="5" t="s">
        <f>=HYPERLINK("https://www.leilaoonline.com.br/lote/detalhe/53187", "776")</f>
      </c>
      <c r="B549" s="4" t="s">
        <f>=HYPERLINK("https://www.leilaoonline.com.br/lote/detalhe/53187", "GOV-071-2020 - APROX. 173 ITENS - Fios e cabos e conexões elétricas E OUTROS - VEJA DESCRITIVO DE ITENS")</f>
      </c>
      <c r="C549" s="4" t="inlineStr">
        <is>
          <t>Vendido</t>
        </is>
      </c>
      <c r="D549" s="4" t="inlineStr">
        <is>
          <t>2</t>
        </is>
      </c>
      <c r="E549" s="5" t="inlineStr">
        <is>
          <t>650,00</t>
        </is>
      </c>
      <c r="F549" s="4" t="inlineStr">
        <is>
          <t>150.00</t>
        </is>
      </c>
    </row>
    <row collapsed="false" customFormat="false" customHeight="false" hidden="false" ht="12.1" outlineLevel="0" r="550">
      <c r="A550" s="5" t="s">
        <f>=HYPERLINK("https://www.leilaoonline.com.br/lote/detalhe/53188", "777")</f>
      </c>
      <c r="B550" s="4" t="s">
        <f>=HYPERLINK("https://www.leilaoonline.com.br/lote/detalhe/53188", "GOV-072-2020 - APROX. 5.548 ITENS - Peças acessórios equipamentos carregamento elevação E OUTROS - VEJA DESCRITIVO DE ITENS")</f>
      </c>
      <c r="C550" s="4" t="inlineStr">
        <is>
          <t>Não vendido</t>
        </is>
      </c>
      <c r="D550" s="4" t="inlineStr">
        <is>
          <t>2</t>
        </is>
      </c>
      <c r="E550" s="5" t="inlineStr">
        <is>
          <t>650,00</t>
        </is>
      </c>
      <c r="F550" s="4" t="inlineStr">
        <is>
          <t>150.00</t>
        </is>
      </c>
    </row>
    <row collapsed="false" customFormat="false" customHeight="false" hidden="false" ht="12.1" outlineLevel="0" r="551">
      <c r="A551" s="5" t="s">
        <f>=HYPERLINK("https://www.leilaoonline.com.br/lote/detalhe/53190", "778")</f>
      </c>
      <c r="B551" s="4" t="s">
        <f>=HYPERLINK("https://www.leilaoonline.com.br/lote/detalhe/53190", "GOV-073-2020 - APROX. 962 ITENS - Peças e insumos e acessórios de componentes eletrônicos E OUTROS - VEJA DESCRITIVO DE ITENS")</f>
      </c>
      <c r="C551" s="4" t="inlineStr">
        <is>
          <t>Vendido</t>
        </is>
      </c>
      <c r="D551" s="4" t="inlineStr">
        <is>
          <t>6</t>
        </is>
      </c>
      <c r="E551" s="5" t="inlineStr">
        <is>
          <t>1.250,00</t>
        </is>
      </c>
      <c r="F551" s="4" t="inlineStr">
        <is>
          <t>150.00</t>
        </is>
      </c>
    </row>
    <row collapsed="false" customFormat="false" customHeight="false" hidden="false" ht="12.1" outlineLevel="0" r="552">
      <c r="A552" s="5" t="s">
        <f>=HYPERLINK("https://www.leilaoonline.com.br/lote/detalhe/53195", "779")</f>
      </c>
      <c r="B552" s="4" t="s">
        <f>=HYPERLINK("https://www.leilaoonline.com.br/lote/detalhe/53195", "ITA-034-2020 - APROX. 320 ITENS - Peças e acessórios de veículo pesado  E OUTROS - VEJA DESCRITIVO DE ITENS")</f>
      </c>
      <c r="C552" s="4" t="inlineStr">
        <is>
          <t>Não vendido</t>
        </is>
      </c>
      <c r="D552" s="4" t="inlineStr">
        <is>
          <t>3</t>
        </is>
      </c>
      <c r="E552" s="5" t="inlineStr">
        <is>
          <t>800,00</t>
        </is>
      </c>
      <c r="F552" s="4" t="inlineStr">
        <is>
          <t>150.00</t>
        </is>
      </c>
    </row>
    <row collapsed="false" customFormat="false" customHeight="false" hidden="false" ht="12.1" outlineLevel="0" r="553">
      <c r="A553" s="5" t="s">
        <f>=HYPERLINK("https://www.leilaoonline.com.br/lote/detalhe/53198", "780")</f>
      </c>
      <c r="B553" s="4" t="s">
        <f>=HYPERLINK("https://www.leilaoonline.com.br/lote/detalhe/53198", "MARAB-07-2020 - 396 ITENS - Peças e acessórios de equipamento de suporte ferroviário E OUTROS - VEJA DESCRITIVO DE ITENS")</f>
      </c>
      <c r="C553" s="4" t="inlineStr">
        <is>
          <t>Não vendido</t>
        </is>
      </c>
      <c r="D553" s="4" t="inlineStr">
        <is>
          <t>2</t>
        </is>
      </c>
      <c r="E553" s="5" t="inlineStr">
        <is>
          <t>650,00</t>
        </is>
      </c>
      <c r="F553" s="4" t="inlineStr">
        <is>
          <t>150.00</t>
        </is>
      </c>
    </row>
    <row collapsed="false" customFormat="false" customHeight="false" hidden="false" ht="12.1" outlineLevel="0" r="554">
      <c r="A554" s="5" t="s">
        <f>=HYPERLINK("https://www.leilaoonline.com.br/lote/detalhe/53199", "781")</f>
      </c>
      <c r="B554" s="4" t="s">
        <f>=HYPERLINK("https://www.leilaoonline.com.br/lote/detalhe/53199", "MARAB-010-2020 - 12 ITENS - Peças e Acess. Bombas - VEJA DESCRITIVO DE ITENS")</f>
      </c>
      <c r="C554" s="4" t="inlineStr">
        <is>
          <t>Não vendido</t>
        </is>
      </c>
      <c r="D554" s="4" t="inlineStr">
        <is>
          <t>1</t>
        </is>
      </c>
      <c r="E554" s="5" t="inlineStr">
        <is>
          <t>500,00</t>
        </is>
      </c>
      <c r="F554" s="4" t="inlineStr">
        <is>
          <t>150.00</t>
        </is>
      </c>
    </row>
    <row collapsed="false" customFormat="false" customHeight="false" hidden="false" ht="12.1" outlineLevel="0" r="555">
      <c r="A555" s="5" t="s">
        <f>=HYPERLINK("https://www.leilaoonline.com.br/lote/detalhe/53203", "782")</f>
      </c>
      <c r="B555" s="4" t="s">
        <f>=HYPERLINK("https://www.leilaoonline.com.br/lote/detalhe/53203", "MARAB-011-2020 - 437 ITENS - MANUTENCAO DE COMPONENTES ELETRICOS - MODULO ELETRONICO E OUTROS - VEJA DESCRITIVO DE ITENS")</f>
      </c>
      <c r="C555" s="4" t="inlineStr">
        <is>
          <t>Não vendido</t>
        </is>
      </c>
      <c r="D555" s="4" t="inlineStr">
        <is>
          <t>1</t>
        </is>
      </c>
      <c r="E555" s="5" t="inlineStr">
        <is>
          <t>500,00</t>
        </is>
      </c>
      <c r="F555" s="4" t="inlineStr">
        <is>
          <t>150.00</t>
        </is>
      </c>
    </row>
    <row collapsed="false" customFormat="false" customHeight="false" hidden="false" ht="12.1" outlineLevel="0" r="556">
      <c r="A556" s="5" t="s">
        <f>=HYPERLINK("https://www.leilaoonline.com.br/lote/detalhe/53204", "783")</f>
      </c>
      <c r="B556" s="4" t="s">
        <f>=HYPERLINK("https://www.leilaoonline.com.br/lote/detalhe/53204", "MARAB-012-2020 - APROX. 321 ITENS - Peças e acessórios de equipamento de suporte ferroviário E OUTROS - VEJA DESCRITIVO DE ITENS")</f>
      </c>
      <c r="C556" s="4" t="inlineStr">
        <is>
          <t>Não vendido</t>
        </is>
      </c>
      <c r="D556" s="4" t="inlineStr">
        <is>
          <t>1</t>
        </is>
      </c>
      <c r="E556" s="5" t="inlineStr">
        <is>
          <t>500,00</t>
        </is>
      </c>
      <c r="F556" s="4" t="inlineStr">
        <is>
          <t>150.00</t>
        </is>
      </c>
    </row>
    <row collapsed="false" customFormat="false" customHeight="false" hidden="false" ht="12.1" outlineLevel="0" r="557">
      <c r="A557" s="5" t="s">
        <f>=HYPERLINK("https://www.leilaoonline.com.br/lote/detalhe/53207", "784")</f>
      </c>
      <c r="B557" s="4" t="s">
        <f>=HYPERLINK("https://www.leilaoonline.com.br/lote/detalhe/53207", "MCR-016-2020 - 110 ITENS - Peças de britador - VEJA DESCRITIVO DE ITENS")</f>
      </c>
      <c r="C557" s="4" t="inlineStr">
        <is>
          <t>Não vendido</t>
        </is>
      </c>
      <c r="D557" s="4" t="inlineStr">
        <is>
          <t>1</t>
        </is>
      </c>
      <c r="E557" s="5" t="inlineStr">
        <is>
          <t>500,00</t>
        </is>
      </c>
      <c r="F557" s="4" t="inlineStr">
        <is>
          <t>150.00</t>
        </is>
      </c>
    </row>
    <row collapsed="false" customFormat="false" customHeight="false" hidden="false" ht="12.1" outlineLevel="0" r="558">
      <c r="A558" s="5" t="s">
        <f>=HYPERLINK("https://www.leilaoonline.com.br/lote/detalhe/53208", "785")</f>
      </c>
      <c r="B558" s="4" t="s">
        <f>=HYPERLINK("https://www.leilaoonline.com.br/lote/detalhe/53208", "MCR-018-2020 - 7 ITENS - Peças e acessórios de veículo pesado E OUTROS - VEJA DESCRITIVO DE ITENS")</f>
      </c>
      <c r="C558" s="4" t="inlineStr">
        <is>
          <t>Não vendido</t>
        </is>
      </c>
      <c r="D558" s="4" t="inlineStr">
        <is>
          <t>0</t>
        </is>
      </c>
      <c r="E558" s="5" t="inlineStr">
        <is>
          <t>500,00</t>
        </is>
      </c>
      <c r="F558" s="4" t="inlineStr">
        <is>
          <t>150.00</t>
        </is>
      </c>
    </row>
    <row collapsed="false" customFormat="false" customHeight="false" hidden="false" ht="12.1" outlineLevel="0" r="559">
      <c r="A559" s="5" t="s">
        <f>=HYPERLINK("https://www.leilaoonline.com.br/lote/detalhe/53252", "787")</f>
      </c>
      <c r="B559" s="4" t="s">
        <f>=HYPERLINK("https://www.leilaoonline.com.br/lote/detalhe/53252", "MCR-020-2020 - 6 ITENS DISJUNTOR BAIXA TENSAO E OUTRO - VEJA DESCRITIVO DE ITENS")</f>
      </c>
      <c r="C559" s="4" t="inlineStr">
        <is>
          <t>Não vendido</t>
        </is>
      </c>
      <c r="D559" s="4" t="inlineStr">
        <is>
          <t>0</t>
        </is>
      </c>
      <c r="E559" s="5" t="inlineStr">
        <is>
          <t>500,00</t>
        </is>
      </c>
      <c r="F559" s="4" t="inlineStr">
        <is>
          <t>150.00</t>
        </is>
      </c>
    </row>
    <row collapsed="false" customFormat="false" customHeight="false" hidden="false" ht="12.1" outlineLevel="0" r="560">
      <c r="A560" s="5" t="s">
        <f>=HYPERLINK("https://www.leilaoonline.com.br/lote/detalhe/53255", "788")</f>
      </c>
      <c r="B560" s="4" t="s">
        <f>=HYPERLINK("https://www.leilaoonline.com.br/lote/detalhe/53255", "MCR-021-2020 - 111 ITENS MATERIAIS DE DESGASTE - VEJA DESCRITIVO DE ITENS")</f>
      </c>
      <c r="C560" s="4" t="inlineStr">
        <is>
          <t>Não vendido</t>
        </is>
      </c>
      <c r="D560" s="4" t="inlineStr">
        <is>
          <t>1</t>
        </is>
      </c>
      <c r="E560" s="5" t="inlineStr">
        <is>
          <t>500,00</t>
        </is>
      </c>
      <c r="F560" s="4" t="inlineStr">
        <is>
          <t>150.00</t>
        </is>
      </c>
    </row>
    <row collapsed="false" customFormat="false" customHeight="false" hidden="false" ht="12.1" outlineLevel="0" r="561">
      <c r="A561" s="5" t="s">
        <f>=HYPERLINK("https://www.leilaoonline.com.br/lote/detalhe/53257", "789")</f>
      </c>
      <c r="B561" s="4" t="s">
        <f>=HYPERLINK("https://www.leilaoonline.com.br/lote/detalhe/53257", "MCR-022-2020 -38 ITENS PECAS SOBRESSALENTES PARA BOMBAS - VEJA DESCRITIVO DE ITENS")</f>
      </c>
      <c r="C561" s="4" t="inlineStr">
        <is>
          <t>Não vendido</t>
        </is>
      </c>
      <c r="D561" s="4" t="inlineStr">
        <is>
          <t>0</t>
        </is>
      </c>
      <c r="E561" s="5" t="inlineStr">
        <is>
          <t>500,00</t>
        </is>
      </c>
      <c r="F561" s="4" t="inlineStr">
        <is>
          <t>150.00</t>
        </is>
      </c>
    </row>
    <row collapsed="false" customFormat="false" customHeight="false" hidden="false" ht="12.1" outlineLevel="0" r="562">
      <c r="A562" s="5" t="s">
        <f>=HYPERLINK("https://www.leilaoonline.com.br/lote/detalhe/53259", "790")</f>
      </c>
      <c r="B562" s="4" t="s">
        <f>=HYPERLINK("https://www.leilaoonline.com.br/lote/detalhe/53259", "MCR-023-2020 - 31 ITENS - CHAPAS, BARRAS E PERFIS E OUTRO - VEJA DESCRITIVO DE ITENS")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500,00</t>
        </is>
      </c>
      <c r="F562" s="4" t="inlineStr">
        <is>
          <t>150.00</t>
        </is>
      </c>
    </row>
    <row collapsed="false" customFormat="false" customHeight="false" hidden="false" ht="12.1" outlineLevel="0" r="563">
      <c r="A563" s="5" t="s">
        <f>=HYPERLINK("https://www.leilaoonline.com.br/lote/detalhe/53260", "791")</f>
      </c>
      <c r="B563" s="4" t="s">
        <f>=HYPERLINK("https://www.leilaoonline.com.br/lote/detalhe/53260", "MCR-024-2020 - APROX. 162 ITENS - MATERIAIS FIXACAO EM GERAL - VEJA DESCRITIVO DE ITENS")</f>
      </c>
      <c r="C563" s="4" t="inlineStr">
        <is>
          <t>Vendido</t>
        </is>
      </c>
      <c r="D563" s="4" t="inlineStr">
        <is>
          <t>1</t>
        </is>
      </c>
      <c r="E563" s="5" t="inlineStr">
        <is>
          <t>500,00</t>
        </is>
      </c>
      <c r="F563" s="4" t="inlineStr">
        <is>
          <t>150.00</t>
        </is>
      </c>
    </row>
    <row collapsed="false" customFormat="false" customHeight="false" hidden="false" ht="12.1" outlineLevel="0" r="564">
      <c r="A564" s="5" t="s">
        <f>=HYPERLINK("https://www.leilaoonline.com.br/lote/detalhe/53263", "793")</f>
      </c>
      <c r="B564" s="4" t="s">
        <f>=HYPERLINK("https://www.leilaoonline.com.br/lote/detalhe/53263", "MCR-027-2020 - 315 ITENS TELAS PENEIRAMENTO - VEJA DESCRITIVO DE ITENS")</f>
      </c>
      <c r="C564" s="4" t="inlineStr">
        <is>
          <t>Não vendido</t>
        </is>
      </c>
      <c r="D564" s="4" t="inlineStr">
        <is>
          <t>6</t>
        </is>
      </c>
      <c r="E564" s="5" t="inlineStr">
        <is>
          <t>1.250,00</t>
        </is>
      </c>
      <c r="F564" s="4" t="inlineStr">
        <is>
          <t>150.00</t>
        </is>
      </c>
    </row>
    <row collapsed="false" customFormat="false" customHeight="false" hidden="false" ht="12.1" outlineLevel="0" r="565">
      <c r="A565" s="5" t="s">
        <f>=HYPERLINK("https://www.leilaoonline.com.br/lote/detalhe/53265", "794")</f>
      </c>
      <c r="B565" s="4" t="s">
        <f>=HYPERLINK("https://www.leilaoonline.com.br/lote/detalhe/53265", "MCR-028-2020 - 134 ITENS TELA PENEIRAMENTO DE POLIURETANO  - VEJA DESCRITIVO DE ITENS")</f>
      </c>
      <c r="C565" s="4" t="inlineStr">
        <is>
          <t>Não vendido</t>
        </is>
      </c>
      <c r="D565" s="4" t="inlineStr">
        <is>
          <t>1</t>
        </is>
      </c>
      <c r="E565" s="5" t="inlineStr">
        <is>
          <t>500,00</t>
        </is>
      </c>
      <c r="F565" s="4" t="inlineStr">
        <is>
          <t>150.00</t>
        </is>
      </c>
    </row>
    <row collapsed="false" customFormat="false" customHeight="false" hidden="false" ht="12.1" outlineLevel="0" r="566">
      <c r="A566" s="5" t="s">
        <f>=HYPERLINK("https://www.leilaoonline.com.br/lote/detalhe/53268", "795")</f>
      </c>
      <c r="B566" s="4" t="s">
        <f>=HYPERLINK("https://www.leilaoonline.com.br/lote/detalhe/53268", "082-095-2020 - APROX. 905 ITENS - Peças e insumos e acessórios de componentes eletrônicos  E OUTROS - VEJA DESCRITIVO DE ITENS")</f>
      </c>
      <c r="C566" s="4" t="inlineStr">
        <is>
          <t>Não vendido</t>
        </is>
      </c>
      <c r="D566" s="4" t="inlineStr">
        <is>
          <t>10</t>
        </is>
      </c>
      <c r="E566" s="5" t="inlineStr">
        <is>
          <t>1.850,00</t>
        </is>
      </c>
      <c r="F566" s="4" t="inlineStr">
        <is>
          <t>150.00</t>
        </is>
      </c>
    </row>
    <row collapsed="false" customFormat="false" customHeight="false" hidden="false" ht="12.1" outlineLevel="0" r="567">
      <c r="A567" s="5" t="s">
        <f>=HYPERLINK("https://www.leilaoonline.com.br/lote/detalhe/53270", "796")</f>
      </c>
      <c r="B567" s="4" t="s">
        <f>=HYPERLINK("https://www.leilaoonline.com.br/lote/detalhe/53270", "082-096-2020 - 1 PEÇA CABO POT ELET 3,6/6KV 70MM2 6")</f>
      </c>
      <c r="C567" s="4" t="inlineStr">
        <is>
          <t>Não vendido</t>
        </is>
      </c>
      <c r="D567" s="4" t="inlineStr">
        <is>
          <t>88</t>
        </is>
      </c>
      <c r="E567" s="5" t="inlineStr">
        <is>
          <t>21.000,00</t>
        </is>
      </c>
      <c r="F567" s="4" t="inlineStr">
        <is>
          <t>250.00</t>
        </is>
      </c>
    </row>
    <row collapsed="false" customFormat="false" customHeight="false" hidden="false" ht="12.1" outlineLevel="0" r="568">
      <c r="A568" s="5" t="s">
        <f>=HYPERLINK("https://www.leilaoonline.com.br/lote/detalhe/53273", "797")</f>
      </c>
      <c r="B568" s="4" t="s">
        <f>=HYPERLINK("https://www.leilaoonline.com.br/lote/detalhe/53273", "082-097-2020 - APROX. 706 ITENS - Peças e acessórios de locomotiva E OUTROS - VEJA DESCRITIVO DE ITENS")</f>
      </c>
      <c r="C568" s="4" t="inlineStr">
        <is>
          <t>Não vendido</t>
        </is>
      </c>
      <c r="D568" s="4" t="inlineStr">
        <is>
          <t>32</t>
        </is>
      </c>
      <c r="E568" s="5" t="inlineStr">
        <is>
          <t>5.150,00</t>
        </is>
      </c>
      <c r="F568" s="4" t="inlineStr">
        <is>
          <t>150.00</t>
        </is>
      </c>
    </row>
    <row collapsed="false" customFormat="false" customHeight="false" hidden="false" ht="12.1" outlineLevel="0" r="569">
      <c r="A569" s="5" t="s">
        <f>=HYPERLINK("https://www.leilaoonline.com.br/lote/detalhe/53276", "798")</f>
      </c>
      <c r="B569" s="4" t="s">
        <f>=HYPERLINK("https://www.leilaoonline.com.br/lote/detalhe/53276", "082-098-2020 - APROX. 9.124 - Peças e acessórios de equipamento de suporte ferroviário E OUTROS - VEJA DESCRITIVO DE ITENS")</f>
      </c>
      <c r="C569" s="4" t="inlineStr">
        <is>
          <t>Não vendido</t>
        </is>
      </c>
      <c r="D569" s="4" t="inlineStr">
        <is>
          <t>2</t>
        </is>
      </c>
      <c r="E569" s="5" t="inlineStr">
        <is>
          <t>650,00</t>
        </is>
      </c>
      <c r="F569" s="4" t="inlineStr">
        <is>
          <t>150.00</t>
        </is>
      </c>
    </row>
    <row collapsed="false" customFormat="false" customHeight="false" hidden="false" ht="12.1" outlineLevel="0" r="570">
      <c r="A570" s="5" t="s">
        <f>=HYPERLINK("https://www.leilaoonline.com.br/lote/detalhe/53277", "799")</f>
      </c>
      <c r="B570" s="4" t="s">
        <f>=HYPERLINK("https://www.leilaoonline.com.br/lote/detalhe/53277", "ACD-MRO-004-2020 - APROX. 1.794 ITENS - Peças e acessórios de equipamento de suporte ferroviário E OUTROS - VEJA DESCRITIVO DE ITENS")</f>
      </c>
      <c r="C570" s="4" t="inlineStr">
        <is>
          <t>Não vendido</t>
        </is>
      </c>
      <c r="D570" s="4" t="inlineStr">
        <is>
          <t>1</t>
        </is>
      </c>
      <c r="E570" s="5" t="inlineStr">
        <is>
          <t>500,00</t>
        </is>
      </c>
      <c r="F570" s="4" t="inlineStr">
        <is>
          <t>150.00</t>
        </is>
      </c>
    </row>
    <row collapsed="false" customFormat="false" customHeight="false" hidden="false" ht="12.1" outlineLevel="0" r="571">
      <c r="A571" s="5" t="s">
        <f>=HYPERLINK("https://www.leilaoonline.com.br/lote/detalhe/53279", "800")</f>
      </c>
      <c r="B571" s="4" t="s">
        <f>=HYPERLINK("https://www.leilaoonline.com.br/lote/detalhe/53279", "CPBS-007-2020 - APROX. 1.249 ITENS - Equipamentos e acessórios de medição e teste elétrico E OUTROS - VEJA DESCRITIVO DE ITENS")</f>
      </c>
      <c r="C571" s="4" t="inlineStr">
        <is>
          <t>Não vendido</t>
        </is>
      </c>
      <c r="D571" s="4" t="inlineStr">
        <is>
          <t>2</t>
        </is>
      </c>
      <c r="E571" s="5" t="inlineStr">
        <is>
          <t>650,00</t>
        </is>
      </c>
      <c r="F571" s="4" t="inlineStr">
        <is>
          <t>150.00</t>
        </is>
      </c>
    </row>
    <row collapsed="false" customFormat="false" customHeight="false" hidden="false" ht="12.1" outlineLevel="0" r="572">
      <c r="A572" s="5" t="s">
        <f>=HYPERLINK("https://www.leilaoonline.com.br/lote/detalhe/53281", "801")</f>
      </c>
      <c r="B572" s="4" t="s">
        <f>=HYPERLINK("https://www.leilaoonline.com.br/lote/detalhe/53281", "MUT-045-2020 - APROX. 312 ITENS - Peças e acessórios de compressores E OUTROS - VEJA DESCRITIVO DE ITENS")</f>
      </c>
      <c r="C572" s="4" t="inlineStr">
        <is>
          <t>Vendido</t>
        </is>
      </c>
      <c r="D572" s="4" t="inlineStr">
        <is>
          <t>1</t>
        </is>
      </c>
      <c r="E572" s="5" t="inlineStr">
        <is>
          <t>1.550,00</t>
        </is>
      </c>
      <c r="F572" s="4" t="inlineStr">
        <is>
          <t>150.00</t>
        </is>
      </c>
    </row>
    <row collapsed="false" customFormat="false" customHeight="false" hidden="false" ht="12.1" outlineLevel="0" r="573">
      <c r="A573" s="5" t="s">
        <f>=HYPERLINK("https://www.leilaoonline.com.br/lote/detalhe/53284", "803")</f>
      </c>
      <c r="B573" s="4" t="s">
        <f>=HYPERLINK("https://www.leilaoonline.com.br/lote/detalhe/53284", "MUT-047-2020 - APROX. 536 ITENS - Peças e acessórios de filtros E OUTROS - VEJA DESCRITIVO DE ITENS")</f>
      </c>
      <c r="C573" s="4" t="inlineStr">
        <is>
          <t>Não vendido</t>
        </is>
      </c>
      <c r="D573" s="4" t="inlineStr">
        <is>
          <t>0</t>
        </is>
      </c>
      <c r="E573" s="5" t="inlineStr">
        <is>
          <t>500,00</t>
        </is>
      </c>
      <c r="F573" s="4" t="inlineStr">
        <is>
          <t>150.00</t>
        </is>
      </c>
    </row>
    <row collapsed="false" customFormat="false" customHeight="false" hidden="false" ht="12.1" outlineLevel="0" r="574">
      <c r="A574" s="5" t="s">
        <f>=HYPERLINK("https://www.leilaoonline.com.br/lote/detalhe/53287", "804")</f>
      </c>
      <c r="B574" s="4" t="s">
        <f>=HYPERLINK("https://www.leilaoonline.com.br/lote/detalhe/53287", "MUT-050-2020 - APROX. 1.219 - Conexões de Tubo E OUTRO - VEJA DESCRITIVO DE ITENS")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500,00</t>
        </is>
      </c>
      <c r="F574" s="4" t="inlineStr">
        <is>
          <t>150.00</t>
        </is>
      </c>
    </row>
    <row collapsed="false" customFormat="false" customHeight="false" hidden="false" ht="12.1" outlineLevel="0" r="575">
      <c r="A575" s="5" t="s">
        <f>=HYPERLINK("https://www.leilaoonline.com.br/lote/detalhe/53290", "805")</f>
      </c>
      <c r="B575" s="4" t="s">
        <f>=HYPERLINK("https://www.leilaoonline.com.br/lote/detalhe/53290", "MUT-051-2020 - APROX. 60 ITENS - Peças e insumos e acessórios de componentes eletrônicos E OUTRO - VEJA DESCRITIVO DE ITENS")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500,00</t>
        </is>
      </c>
      <c r="F575" s="4" t="inlineStr">
        <is>
          <t>150.00</t>
        </is>
      </c>
    </row>
    <row collapsed="false" customFormat="false" customHeight="false" hidden="false" ht="12.1" outlineLevel="0" r="576">
      <c r="A576" s="5" t="s">
        <f>=HYPERLINK("https://www.leilaoonline.com.br/lote/detalhe/53291", "806")</f>
      </c>
      <c r="B576" s="4" t="s">
        <f>=HYPERLINK("https://www.leilaoonline.com.br/lote/detalhe/53291", "MUT-052-2020 - APROX. 161 ITENS - Unidades de engrenagem E OUTROS - VEJA DESCRITIVO DE ITENS")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500,00</t>
        </is>
      </c>
      <c r="F576" s="4" t="inlineStr">
        <is>
          <t>150.00</t>
        </is>
      </c>
    </row>
    <row collapsed="false" customFormat="false" customHeight="false" hidden="false" ht="12.1" outlineLevel="0" r="577">
      <c r="A577" s="5" t="s">
        <f>=HYPERLINK("https://www.leilaoonline.com.br/lote/detalhe/53370", "808")</f>
      </c>
      <c r="B577" s="4" t="s">
        <f>=HYPERLINK("https://www.leilaoonline.com.br/lote/detalhe/53370", "MUT-053-2020 - 40 ITENS - JUNTAS E VEDAÇÕES E OUTROS - VEJA DESCRITIVO DE ITENS")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500,00</t>
        </is>
      </c>
      <c r="F577" s="4" t="inlineStr">
        <is>
          <t>150.00</t>
        </is>
      </c>
    </row>
    <row collapsed="false" customFormat="false" customHeight="false" hidden="false" ht="12.1" outlineLevel="0" r="578">
      <c r="A578" s="5" t="s">
        <f>=HYPERLINK("https://www.leilaoonline.com.br/lote/detalhe/53371", "809")</f>
      </c>
      <c r="B578" s="4" t="s">
        <f>=HYPERLINK("https://www.leilaoonline.com.br/lote/detalhe/53371", "MUT-054-2020 - 26 ITENS - Peças e acessórios de veículo pesado E OUTROS - VEJA DESCRITIVO DE ITENS")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500,00</t>
        </is>
      </c>
      <c r="F578" s="4" t="inlineStr">
        <is>
          <t>150.00</t>
        </is>
      </c>
    </row>
    <row collapsed="false" customFormat="false" customHeight="false" hidden="false" ht="12.1" outlineLevel="0" r="579">
      <c r="A579" s="5" t="s">
        <f>=HYPERLINK("https://www.leilaoonline.com.br/lote/detalhe/53372", "810")</f>
      </c>
      <c r="B579" s="4" t="s">
        <f>=HYPERLINK("https://www.leilaoonline.com.br/lote/detalhe/53372", "MUT-055-2020 -  38 itens - Peças e acessórios de bombas E OUTROS - VEJA DESCRITIVO DE ITENS")</f>
      </c>
      <c r="C579" s="4" t="inlineStr">
        <is>
          <t>Não vendido</t>
        </is>
      </c>
      <c r="D579" s="4" t="inlineStr">
        <is>
          <t>1</t>
        </is>
      </c>
      <c r="E579" s="5" t="inlineStr">
        <is>
          <t>500,00</t>
        </is>
      </c>
      <c r="F579" s="4" t="inlineStr">
        <is>
          <t>150.00</t>
        </is>
      </c>
    </row>
    <row collapsed="false" customFormat="false" customHeight="false" hidden="false" ht="12.1" outlineLevel="0" r="580">
      <c r="A580" s="5" t="s">
        <f>=HYPERLINK("https://www.leilaoonline.com.br/lote/detalhe/53374", "811")</f>
      </c>
      <c r="B580" s="4" t="s">
        <f>=HYPERLINK("https://www.leilaoonline.com.br/lote/detalhe/53374", "MUT-057-2020 - 22 ITENS - Peças e acessórios de filtros E OUTROS - VEJA DESCRITIVO DE ITENS")</f>
      </c>
      <c r="C580" s="4" t="inlineStr">
        <is>
          <t>Não vendido</t>
        </is>
      </c>
      <c r="D580" s="4" t="inlineStr">
        <is>
          <t>0</t>
        </is>
      </c>
      <c r="E580" s="5" t="inlineStr">
        <is>
          <t>500,00</t>
        </is>
      </c>
      <c r="F580" s="4" t="inlineStr">
        <is>
          <t>150.00</t>
        </is>
      </c>
    </row>
    <row collapsed="false" customFormat="false" customHeight="false" hidden="false" ht="12.1" outlineLevel="0" r="581">
      <c r="A581" s="5" t="s">
        <f>=HYPERLINK("https://www.leilaoonline.com.br/lote/detalhe/53375", "812")</f>
      </c>
      <c r="B581" s="4" t="s">
        <f>=HYPERLINK("https://www.leilaoonline.com.br/lote/detalhe/53375", "MUT-058-2020 - APROX. 653 ITENS - Fios e cabos e conexões elétricas E OUTROS - VEJA DESCRITIVO DE ITENS")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500,00</t>
        </is>
      </c>
      <c r="F581" s="4" t="inlineStr">
        <is>
          <t>150.00</t>
        </is>
      </c>
    </row>
    <row collapsed="false" customFormat="false" customHeight="false" hidden="false" ht="12.1" outlineLevel="0" r="582">
      <c r="A582" s="5" t="s">
        <f>=HYPERLINK("https://www.leilaoonline.com.br/lote/detalhe/53377", "813")</f>
      </c>
      <c r="B582" s="4" t="s">
        <f>=HYPERLINK("https://www.leilaoonline.com.br/lote/detalhe/53377", "MUT-059-2020 - 64 ITENS - JUNTAS E VEDAÇÕES E OUTROS - VEJA DESCRITIVO DE ITENS")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500,00</t>
        </is>
      </c>
      <c r="F582" s="4" t="inlineStr">
        <is>
          <t>150.00</t>
        </is>
      </c>
    </row>
    <row collapsed="false" customFormat="false" customHeight="false" hidden="false" ht="12.1" outlineLevel="0" r="583">
      <c r="A583" s="5" t="s">
        <f>=HYPERLINK("https://www.leilaoonline.com.br/lote/detalhe/53378", "814")</f>
      </c>
      <c r="B583" s="4" t="s">
        <f>=HYPERLINK("https://www.leilaoonline.com.br/lote/detalhe/53378", "OIA-027-2020 - 17 ITENS - Peças e acessórios de veículo pesado E OUTROS - VEJA DESCRITIVO DE ITENS")</f>
      </c>
      <c r="C583" s="4" t="inlineStr">
        <is>
          <t>Vendido</t>
        </is>
      </c>
      <c r="D583" s="4" t="inlineStr">
        <is>
          <t>1</t>
        </is>
      </c>
      <c r="E583" s="5" t="inlineStr">
        <is>
          <t>500,00</t>
        </is>
      </c>
      <c r="F583" s="4" t="inlineStr">
        <is>
          <t>150.00</t>
        </is>
      </c>
    </row>
    <row collapsed="false" customFormat="false" customHeight="false" hidden="false" ht="12.1" outlineLevel="0" r="584">
      <c r="A584" s="5" t="s">
        <f>=HYPERLINK("https://www.leilaoonline.com.br/lote/detalhe/53380", "815")</f>
      </c>
      <c r="B584" s="4" t="s">
        <f>=HYPERLINK("https://www.leilaoonline.com.br/lote/detalhe/53380", "PIC-224-2020 - APROX. 532 ITENS - Material elétrico E OUTROS - VEJA DESCRITIVO DE ITENS")</f>
      </c>
      <c r="C584" s="4" t="inlineStr">
        <is>
          <t>Não vendido</t>
        </is>
      </c>
      <c r="D584" s="4" t="inlineStr">
        <is>
          <t>2</t>
        </is>
      </c>
      <c r="E584" s="5" t="inlineStr">
        <is>
          <t>650,00</t>
        </is>
      </c>
      <c r="F584" s="4" t="inlineStr">
        <is>
          <t>150.00</t>
        </is>
      </c>
    </row>
    <row collapsed="false" customFormat="false" customHeight="false" hidden="false" ht="12.1" outlineLevel="0" r="585">
      <c r="A585" s="5" t="s">
        <f>=HYPERLINK("https://www.leilaoonline.com.br/lote/detalhe/53383", "816")</f>
      </c>
      <c r="B585" s="4" t="s">
        <f>=HYPERLINK("https://www.leilaoonline.com.br/lote/detalhe/53383", "PIC-227-2020 - APROX. 481 ITENS - Peças de britador E OUTROS - VEJA DESCRITIVO DE ITENS")</f>
      </c>
      <c r="C585" s="4" t="inlineStr">
        <is>
          <t>Não vendido</t>
        </is>
      </c>
      <c r="D585" s="4" t="inlineStr">
        <is>
          <t>1</t>
        </is>
      </c>
      <c r="E585" s="5" t="inlineStr">
        <is>
          <t>500,00</t>
        </is>
      </c>
      <c r="F585" s="4" t="inlineStr">
        <is>
          <t>150.00</t>
        </is>
      </c>
    </row>
    <row collapsed="false" customFormat="false" customHeight="false" hidden="false" ht="12.1" outlineLevel="0" r="586">
      <c r="A586" s="5" t="s">
        <f>=HYPERLINK("https://www.leilaoonline.com.br/lote/detalhe/53384", "817")</f>
      </c>
      <c r="B586" s="4" t="s">
        <f>=HYPERLINK("https://www.leilaoonline.com.br/lote/detalhe/53384", "PIC-230-2020 - APROX. 142 ITENS - Transmissores de força mecânica E OUTROS - VEJA DESCRITIVO DE ITENS")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500,00</t>
        </is>
      </c>
      <c r="F586" s="4" t="inlineStr">
        <is>
          <t>150.00</t>
        </is>
      </c>
    </row>
    <row collapsed="false" customFormat="false" customHeight="false" hidden="false" ht="12.1" outlineLevel="0" r="587">
      <c r="A587" s="5" t="s">
        <f>=HYPERLINK("https://www.leilaoonline.com.br/lote/detalhe/53443", "818")</f>
      </c>
      <c r="B587" s="4" t="s">
        <f>=HYPERLINK("https://www.leilaoonline.com.br/lote/detalhe/53443", "PIC-233-2020 - 83 ITENS - Máquinas para escritório e seus suprimentos e acessórios E OUTROS - VEJA DESCRITIVO DE ITENS")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500,00</t>
        </is>
      </c>
      <c r="F587" s="4" t="inlineStr">
        <is>
          <t>150.00</t>
        </is>
      </c>
    </row>
    <row collapsed="false" customFormat="false" customHeight="false" hidden="false" ht="12.1" outlineLevel="0" r="588">
      <c r="A588" s="5" t="s">
        <f>=HYPERLINK("https://www.leilaoonline.com.br/lote/detalhe/53445", "819")</f>
      </c>
      <c r="B588" s="4" t="s">
        <f>=HYPERLINK("https://www.leilaoonline.com.br/lote/detalhe/53445", "PIC-234-2020 - APROX. 125 ITENS - Transmissores de força mecânica E OUTROS - VEJA DESCRITIVO DE ITENS")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500,00</t>
        </is>
      </c>
      <c r="F588" s="4" t="inlineStr">
        <is>
          <t>150.00</t>
        </is>
      </c>
    </row>
    <row collapsed="false" customFormat="false" customHeight="false" hidden="false" ht="12.1" outlineLevel="0" r="589">
      <c r="A589" s="5" t="s">
        <f>=HYPERLINK("https://www.leilaoonline.com.br/lote/detalhe/53446", "820")</f>
      </c>
      <c r="B589" s="4" t="s">
        <f>=HYPERLINK("https://www.leilaoonline.com.br/lote/detalhe/53446", "PIC-235-2020 - APROX. 77 ITENS - Peças e acessórios de sonda e perfuratriz E OUTROS - VEJA DESCRITIVO DE ITENS")</f>
      </c>
      <c r="C589" s="4" t="inlineStr">
        <is>
          <t>Vendido</t>
        </is>
      </c>
      <c r="D589" s="4" t="inlineStr">
        <is>
          <t>2</t>
        </is>
      </c>
      <c r="E589" s="5" t="inlineStr">
        <is>
          <t>720,00</t>
        </is>
      </c>
      <c r="F589" s="4" t="inlineStr">
        <is>
          <t>150.00</t>
        </is>
      </c>
    </row>
    <row collapsed="false" customFormat="false" customHeight="false" hidden="false" ht="12.1" outlineLevel="0" r="590">
      <c r="A590" s="5" t="s">
        <f>=HYPERLINK("https://www.leilaoonline.com.br/lote/detalhe/53447", "821")</f>
      </c>
      <c r="B590" s="4" t="s">
        <f>=HYPERLINK("https://www.leilaoonline.com.br/lote/detalhe/53447", "PIC-236-2020 - 25 ITENS  - Mangueiras E OUTROS - VEJA DESCRITIVO DE ITENS")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500,00</t>
        </is>
      </c>
      <c r="F590" s="4" t="inlineStr">
        <is>
          <t>150.00</t>
        </is>
      </c>
    </row>
    <row collapsed="false" customFormat="false" customHeight="false" hidden="false" ht="12.1" outlineLevel="0" r="591">
      <c r="A591" s="5" t="s">
        <f>=HYPERLINK("https://www.leilaoonline.com.br/lote/detalhe/53450", "822")</f>
      </c>
      <c r="B591" s="4" t="s">
        <f>=HYPERLINK("https://www.leilaoonline.com.br/lote/detalhe/53450", "PIC-237-2020 - APROX. 94 ITENS - Instrumentos de medição e controle de pressão  E OUTROS - VEJA DESCRITIVO DE ITENS")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500,00</t>
        </is>
      </c>
      <c r="F591" s="4" t="inlineStr">
        <is>
          <t>150.00</t>
        </is>
      </c>
    </row>
    <row collapsed="false" customFormat="false" customHeight="false" hidden="false" ht="12.1" outlineLevel="0" r="592">
      <c r="A592" s="5" t="s">
        <f>=HYPERLINK("https://www.leilaoonline.com.br/lote/detalhe/53451", "823")</f>
      </c>
      <c r="B592" s="4" t="s">
        <f>=HYPERLINK("https://www.leilaoonline.com.br/lote/detalhe/53451", "PIC-238-2020 - APROX. 171 ITENS - Peças acessórios equipamentos carregamento elevação E OUTROS - VEJA DESCRITIVO DE ITENS")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500,00</t>
        </is>
      </c>
      <c r="F592" s="4" t="inlineStr">
        <is>
          <t>150.00</t>
        </is>
      </c>
    </row>
    <row collapsed="false" customFormat="false" customHeight="false" hidden="false" ht="12.1" outlineLevel="0" r="593">
      <c r="A593" s="5" t="s">
        <f>=HYPERLINK("https://www.leilaoonline.com.br/lote/detalhe/53452", "824")</f>
      </c>
      <c r="B593" s="4" t="s">
        <f>=HYPERLINK("https://www.leilaoonline.com.br/lote/detalhe/53452", "PIC-239-2020 - APROX. 382 ITENS - Peças e acessórios de bombas E OUTROS - VEJA DESCRITIVO DE ITENS")</f>
      </c>
      <c r="C593" s="4" t="inlineStr">
        <is>
          <t>Vendido</t>
        </is>
      </c>
      <c r="D593" s="4" t="inlineStr">
        <is>
          <t>1</t>
        </is>
      </c>
      <c r="E593" s="5" t="inlineStr">
        <is>
          <t>500,00</t>
        </is>
      </c>
      <c r="F593" s="4" t="inlineStr">
        <is>
          <t>150.00</t>
        </is>
      </c>
    </row>
    <row collapsed="false" customFormat="false" customHeight="false" hidden="false" ht="12.1" outlineLevel="0" r="594">
      <c r="A594" s="5" t="s">
        <f>=HYPERLINK("https://www.leilaoonline.com.br/lote/detalhe/53367", "850")</f>
      </c>
      <c r="B594" s="4" t="s">
        <f>=HYPERLINK("https://www.leilaoonline.com.br/lote/detalhe/53367", "SFH-006-2020-144 ITENS, COTOVELOS, ANEIS, ADAPTADORES E OUTROS-VEJA DESCRITIVO DE ITENS ")</f>
      </c>
      <c r="C594" s="4" t="inlineStr">
        <is>
          <t>Não vendido</t>
        </is>
      </c>
      <c r="D594" s="4" t="inlineStr">
        <is>
          <t>0</t>
        </is>
      </c>
      <c r="E594" s="5" t="inlineStr">
        <is>
          <t>500,00</t>
        </is>
      </c>
      <c r="F594" s="4" t="inlineStr">
        <is>
          <t>150.00</t>
        </is>
      </c>
    </row>
    <row collapsed="false" customFormat="false" customHeight="false" hidden="false" ht="12.1" outlineLevel="0" r="595">
      <c r="A595" s="5" t="s">
        <f>=HYPERLINK("https://www.leilaoonline.com.br/lote/detalhe/53368", "851")</f>
      </c>
      <c r="B595" s="4" t="s">
        <f>=HYPERLINK("https://www.leilaoonline.com.br/lote/detalhe/53368", "SFH-005-2020-110 ITENS, ACOPAMENTOS, CUBOS, BUCHAS E OUTROS - VEJA DESCRITIVO DE ITENS 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500,00</t>
        </is>
      </c>
      <c r="F595" s="4" t="inlineStr">
        <is>
          <t>150.00</t>
        </is>
      </c>
    </row>
    <row collapsed="false" customFormat="false" customHeight="false" hidden="false" ht="12.1" outlineLevel="0" r="596">
      <c r="A596" s="5" t="s">
        <f>=HYPERLINK("https://www.leilaoonline.com.br/lote/detalhe/53369", "852")</f>
      </c>
      <c r="B596" s="4" t="s">
        <f>=HYPERLINK("https://www.leilaoonline.com.br/lote/detalhe/53369", "'SFH-004-2020-78 ITENS,  ROLAMENTO ESFERAS DIVERSOS- VEJA DESCRITIVO DE ITENS   ")</f>
      </c>
      <c r="C596" s="4" t="inlineStr">
        <is>
          <t>Vendido</t>
        </is>
      </c>
      <c r="D596" s="4" t="inlineStr">
        <is>
          <t>47</t>
        </is>
      </c>
      <c r="E596" s="5" t="inlineStr">
        <is>
          <t>11.750,00</t>
        </is>
      </c>
      <c r="F596" s="4" t="inlineStr">
        <is>
          <t>500.00</t>
        </is>
      </c>
    </row>
    <row collapsed="false" customFormat="false" customHeight="false" hidden="false" ht="12.1" outlineLevel="0" r="597">
      <c r="A597" s="5" t="s">
        <f>=HYPERLINK("https://www.leilaoonline.com.br/lote/detalhe/53373", "853")</f>
      </c>
      <c r="B597" s="4" t="s">
        <f>=HYPERLINK("https://www.leilaoonline.com.br/lote/detalhe/53373", "S11D-011-2020-MRO - APROX. 18 MM ROLO TRANSP- VEJA DESCRITIVO DE ITENS ")</f>
      </c>
      <c r="C597" s="4" t="inlineStr">
        <is>
          <t>Vendido</t>
        </is>
      </c>
      <c r="D597" s="4" t="inlineStr">
        <is>
          <t>3</t>
        </is>
      </c>
      <c r="E597" s="5" t="inlineStr">
        <is>
          <t>1.000,00</t>
        </is>
      </c>
      <c r="F597" s="4" t="inlineStr">
        <is>
          <t>150.00</t>
        </is>
      </c>
    </row>
    <row collapsed="false" customFormat="false" customHeight="false" hidden="false" ht="12.1" outlineLevel="0" r="598">
      <c r="A598" s="5" t="s">
        <f>=HYPERLINK("https://www.leilaoonline.com.br/lote/detalhe/53376", "854")</f>
      </c>
      <c r="B598" s="4" t="s">
        <f>=HYPERLINK("https://www.leilaoonline.com.br/lote/detalhe/53376", "S11D-010-2020-MRO- 2.015 ITENS, ANEL FIXAÇÃO, PARAFUSOS, BUCHAS E OUTROS- VEJA DESCRITIVO DE ITENS")</f>
      </c>
      <c r="C598" s="4" t="inlineStr">
        <is>
          <t>Não vendido</t>
        </is>
      </c>
      <c r="D598" s="4" t="inlineStr">
        <is>
          <t>3</t>
        </is>
      </c>
      <c r="E598" s="5" t="inlineStr">
        <is>
          <t>800,00</t>
        </is>
      </c>
      <c r="F598" s="4" t="inlineStr">
        <is>
          <t>150.00</t>
        </is>
      </c>
    </row>
    <row collapsed="false" customFormat="false" customHeight="false" hidden="false" ht="12.1" outlineLevel="0" r="599">
      <c r="A599" s="5" t="s">
        <f>=HYPERLINK("https://www.leilaoonline.com.br/lote/detalhe/53379", "855")</f>
      </c>
      <c r="B599" s="4" t="s">
        <f>=HYPERLINK("https://www.leilaoonline.com.br/lote/detalhe/53379", "PIC-243-2020-78 ITENS, FILTROS FLUIDOS DIESEL DIVERSOS - VEJA DESCRITIVO DE ITENS ")</f>
      </c>
      <c r="C599" s="4" t="inlineStr">
        <is>
          <t>Vendido</t>
        </is>
      </c>
      <c r="D599" s="4" t="inlineStr">
        <is>
          <t>2</t>
        </is>
      </c>
      <c r="E599" s="5" t="inlineStr">
        <is>
          <t>650,00</t>
        </is>
      </c>
      <c r="F599" s="4" t="inlineStr">
        <is>
          <t>150.00</t>
        </is>
      </c>
    </row>
    <row collapsed="false" customFormat="false" customHeight="false" hidden="false" ht="12.1" outlineLevel="0" r="600">
      <c r="A600" s="5" t="s">
        <f>=HYPERLINK("https://www.leilaoonline.com.br/lote/detalhe/53442", "856")</f>
      </c>
      <c r="B600" s="4" t="s">
        <f>=HYPERLINK("https://www.leilaoonline.com.br/lote/detalhe/53442", "PIC-241-2020- 212 ITENS REVESTIMENTOS, ROLAMENTOS E OUTROS- VEJA DESCRITIVO DE ITENS ")</f>
      </c>
      <c r="C600" s="4" t="inlineStr">
        <is>
          <t>Vendido</t>
        </is>
      </c>
      <c r="D600" s="4" t="inlineStr">
        <is>
          <t>3</t>
        </is>
      </c>
      <c r="E600" s="5" t="inlineStr">
        <is>
          <t>850,00</t>
        </is>
      </c>
      <c r="F600" s="4" t="inlineStr">
        <is>
          <t>150.00</t>
        </is>
      </c>
    </row>
    <row collapsed="false" customFormat="false" customHeight="false" hidden="false" ht="12.1" outlineLevel="0" r="601">
      <c r="A601" s="5" t="s">
        <f>=HYPERLINK("https://www.leilaoonline.com.br/lote/detalhe/53444", "857")</f>
      </c>
      <c r="B601" s="4" t="s">
        <f>=HYPERLINK("https://www.leilaoonline.com.br/lote/detalhe/53444", "PIC-240-2020-133 ITENS, PINOS, POLIA COMPONENTE E OUTROS- VEJA DESCRITIVO DE ITENS ")</f>
      </c>
      <c r="C601" s="4" t="inlineStr">
        <is>
          <t>Vendido</t>
        </is>
      </c>
      <c r="D601" s="4" t="inlineStr">
        <is>
          <t>3</t>
        </is>
      </c>
      <c r="E601" s="5" t="inlineStr">
        <is>
          <t>800,00</t>
        </is>
      </c>
      <c r="F60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2026-05-01T10:09:30.00Z</dcterms:created>
  <dc:creator>Tellks Tecnologia</dc:creator>
  <cp:revision>0</cp:revision>
</cp:coreProperties>
</file>